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8"/>
  <workbookPr defaultThemeVersion="166925"/>
  <mc:AlternateContent xmlns:mc="http://schemas.openxmlformats.org/markup-compatibility/2006">
    <mc:Choice Requires="x15">
      <x15ac:absPath xmlns:x15ac="http://schemas.microsoft.com/office/spreadsheetml/2010/11/ac" url="C:\Users\semangano\Desktop\"/>
    </mc:Choice>
  </mc:AlternateContent>
  <xr:revisionPtr revIDLastSave="0" documentId="13_ncr:1_{7C4135F8-5657-41BF-8584-C1A4AAFDEDE5}" xr6:coauthVersionLast="47" xr6:coauthVersionMax="47" xr10:uidLastSave="{00000000-0000-0000-0000-000000000000}"/>
  <bookViews>
    <workbookView xWindow="0" yWindow="-120" windowWidth="28800" windowHeight="13356" tabRatio="500" firstSheet="1" activeTab="1" xr2:uid="{00000000-000D-0000-FFFF-FFFF00000000}"/>
  </bookViews>
  <sheets>
    <sheet name="Narrative Question" sheetId="1" r:id="rId1"/>
    <sheet name="Budget" sheetId="2" r:id="rId2"/>
    <sheet name="Summary" sheetId="4" state="hidden" r:id="rId3"/>
    <sheet name="DESE Codes" sheetId="5" state="hidden" r:id="rId4"/>
    <sheet name="Short Crosswalk" sheetId="6" state="hidden" r:id="rId5"/>
    <sheet name="Full Crosswalk" sheetId="7" state="hidden" r:id="rId6"/>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90" i="2" l="1"/>
  <c r="M90" i="2" s="1"/>
  <c r="K88" i="2"/>
  <c r="M88" i="2" s="1"/>
  <c r="K81" i="2"/>
  <c r="M81" i="2" s="1"/>
  <c r="K79" i="2"/>
  <c r="M79" i="2" s="1"/>
  <c r="K76" i="2"/>
  <c r="M76" i="2" s="1"/>
  <c r="K75" i="2"/>
  <c r="M75" i="2" s="1"/>
  <c r="M69" i="2"/>
  <c r="K69" i="2"/>
  <c r="K72" i="2"/>
  <c r="M72" i="2" s="1"/>
  <c r="K71" i="2"/>
  <c r="M71" i="2" s="1"/>
  <c r="K70" i="2"/>
  <c r="M70" i="2" s="1"/>
  <c r="I69" i="2"/>
  <c r="I67" i="2"/>
  <c r="K67" i="2" s="1"/>
  <c r="M67" i="2" s="1"/>
  <c r="K64" i="2"/>
  <c r="M64" i="2" s="1"/>
  <c r="K63" i="2"/>
  <c r="M63" i="2" s="1"/>
  <c r="K55" i="2"/>
  <c r="M55" i="2" s="1"/>
  <c r="K56" i="2"/>
  <c r="M56" i="2" s="1"/>
  <c r="K57" i="2"/>
  <c r="M57" i="2" s="1"/>
  <c r="K49" i="2"/>
  <c r="M49" i="2" s="1"/>
  <c r="K48" i="2"/>
  <c r="M48" i="2" s="1"/>
  <c r="K45" i="2"/>
  <c r="M45" i="2" s="1"/>
  <c r="I35" i="2"/>
  <c r="K39" i="2"/>
  <c r="M39" i="2" s="1"/>
  <c r="K37" i="2"/>
  <c r="M37" i="2" s="1"/>
  <c r="K36" i="2"/>
  <c r="M36" i="2" s="1"/>
  <c r="K34" i="2"/>
  <c r="M34" i="2" s="1"/>
  <c r="K33" i="2"/>
  <c r="M33" i="2" s="1"/>
  <c r="K32" i="2"/>
  <c r="M32" i="2" s="1"/>
  <c r="K31" i="2"/>
  <c r="M31" i="2" s="1"/>
  <c r="K25" i="2"/>
  <c r="M25" i="2" s="1"/>
  <c r="K26" i="2"/>
  <c r="M26" i="2" s="1"/>
  <c r="K27" i="2"/>
  <c r="M27" i="2" s="1"/>
  <c r="K21" i="2"/>
  <c r="M21" i="2" s="1"/>
  <c r="K19" i="2"/>
  <c r="M19" i="2" s="1"/>
  <c r="K16" i="2"/>
  <c r="M16" i="2" s="1"/>
  <c r="K14" i="2"/>
  <c r="M14" i="2" s="1"/>
  <c r="I7" i="2"/>
  <c r="K7" i="2" s="1"/>
  <c r="M7" i="2" s="1"/>
  <c r="K8" i="2"/>
  <c r="M8" i="2" s="1"/>
  <c r="K6" i="2"/>
  <c r="M6" i="2" s="1"/>
  <c r="K10" i="2"/>
  <c r="M10" i="2" s="1"/>
  <c r="M11" i="2" l="1"/>
  <c r="L35" i="2"/>
  <c r="J35" i="2"/>
  <c r="H35" i="2"/>
  <c r="F11" i="7"/>
  <c r="E11" i="7"/>
  <c r="G11" i="7" s="1"/>
  <c r="F10" i="7"/>
  <c r="E10" i="7"/>
  <c r="G10" i="7" s="1"/>
  <c r="F9" i="7"/>
  <c r="E9" i="7"/>
  <c r="G9" i="7" s="1"/>
  <c r="F8" i="7"/>
  <c r="E8" i="7"/>
  <c r="G8" i="7" s="1"/>
  <c r="F7" i="7"/>
  <c r="E7" i="7"/>
  <c r="G7" i="7" s="1"/>
  <c r="F6" i="7"/>
  <c r="E6" i="7"/>
  <c r="G6" i="7" s="1"/>
  <c r="F5" i="7"/>
  <c r="E5" i="7"/>
  <c r="G5" i="7" s="1"/>
  <c r="F4" i="7"/>
  <c r="E4" i="7"/>
  <c r="G4" i="7" s="1"/>
  <c r="F3" i="7"/>
  <c r="E3" i="7"/>
  <c r="G3" i="7" s="1"/>
  <c r="F2" i="7"/>
  <c r="E2" i="7"/>
  <c r="G2" i="7" s="1"/>
  <c r="F28" i="6"/>
  <c r="G28" i="6" s="1"/>
  <c r="A28" i="6"/>
  <c r="F27" i="6"/>
  <c r="G27" i="6" s="1"/>
  <c r="A27" i="6"/>
  <c r="F26" i="6"/>
  <c r="G26" i="6" s="1"/>
  <c r="A26" i="6"/>
  <c r="F25" i="6"/>
  <c r="G25" i="6" s="1"/>
  <c r="A25" i="6"/>
  <c r="F24" i="6"/>
  <c r="G24" i="6" s="1"/>
  <c r="A24" i="6"/>
  <c r="F23" i="6"/>
  <c r="G23" i="6" s="1"/>
  <c r="A23" i="6"/>
  <c r="F22" i="6"/>
  <c r="G22" i="6" s="1"/>
  <c r="A22" i="6"/>
  <c r="F21" i="6"/>
  <c r="G21" i="6" s="1"/>
  <c r="A21" i="6"/>
  <c r="F20" i="6"/>
  <c r="G20" i="6" s="1"/>
  <c r="A20" i="6"/>
  <c r="F19" i="6"/>
  <c r="G19" i="6" s="1"/>
  <c r="A19" i="6"/>
  <c r="F18" i="6"/>
  <c r="G18" i="6" s="1"/>
  <c r="A18" i="6"/>
  <c r="F17" i="6"/>
  <c r="G17" i="6" s="1"/>
  <c r="A17" i="6"/>
  <c r="F16" i="6"/>
  <c r="G16" i="6" s="1"/>
  <c r="A16" i="6"/>
  <c r="F15" i="6"/>
  <c r="G15" i="6" s="1"/>
  <c r="A15" i="6"/>
  <c r="F14" i="6"/>
  <c r="G14" i="6" s="1"/>
  <c r="A14" i="6"/>
  <c r="F13" i="6"/>
  <c r="G13" i="6" s="1"/>
  <c r="A13" i="6"/>
  <c r="F12" i="6"/>
  <c r="G12" i="6" s="1"/>
  <c r="A12" i="6"/>
  <c r="F11" i="6"/>
  <c r="G11" i="6" s="1"/>
  <c r="A11" i="6"/>
  <c r="F10" i="6"/>
  <c r="G10" i="6" s="1"/>
  <c r="A10" i="6"/>
  <c r="F9" i="6"/>
  <c r="G9" i="6" s="1"/>
  <c r="A9" i="6"/>
  <c r="F8" i="6"/>
  <c r="G8" i="6" s="1"/>
  <c r="A8" i="6"/>
  <c r="F7" i="6"/>
  <c r="G7" i="6" s="1"/>
  <c r="A7" i="6"/>
  <c r="F6" i="6"/>
  <c r="G6" i="6" s="1"/>
  <c r="A6" i="6"/>
  <c r="F5" i="6"/>
  <c r="G5" i="6" s="1"/>
  <c r="A5" i="6"/>
  <c r="F4" i="6"/>
  <c r="G4" i="6" s="1"/>
  <c r="A4" i="6"/>
  <c r="F3" i="6"/>
  <c r="G3" i="6" s="1"/>
  <c r="A3" i="6"/>
  <c r="F2" i="6"/>
  <c r="G2" i="6" s="1"/>
  <c r="A2" i="6"/>
  <c r="H22" i="4"/>
  <c r="G22" i="4"/>
  <c r="F22" i="4"/>
  <c r="E22" i="4"/>
  <c r="D22" i="4"/>
  <c r="C22" i="4"/>
  <c r="H21" i="4"/>
  <c r="G21" i="4"/>
  <c r="F21" i="4"/>
  <c r="E21" i="4"/>
  <c r="D21" i="4"/>
  <c r="C21" i="4"/>
  <c r="H20" i="4"/>
  <c r="G20" i="4"/>
  <c r="F20" i="4"/>
  <c r="E20" i="4"/>
  <c r="D20" i="4"/>
  <c r="C20" i="4"/>
  <c r="H19" i="4"/>
  <c r="G19" i="4"/>
  <c r="F19" i="4"/>
  <c r="E19" i="4"/>
  <c r="D19" i="4"/>
  <c r="C19" i="4"/>
  <c r="H18" i="4"/>
  <c r="G18" i="4"/>
  <c r="F18" i="4"/>
  <c r="E18" i="4"/>
  <c r="D18" i="4"/>
  <c r="C18"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H8" i="4"/>
  <c r="G8" i="4"/>
  <c r="F8" i="4"/>
  <c r="E8" i="4"/>
  <c r="D8" i="4"/>
  <c r="C8" i="4"/>
  <c r="H7" i="4"/>
  <c r="G7" i="4"/>
  <c r="F7" i="4"/>
  <c r="E7" i="4"/>
  <c r="D7" i="4"/>
  <c r="C7" i="4"/>
  <c r="H6" i="4"/>
  <c r="G6" i="4"/>
  <c r="F6" i="4"/>
  <c r="E6" i="4"/>
  <c r="D6" i="4"/>
  <c r="C6" i="4"/>
  <c r="H5" i="4"/>
  <c r="G5" i="4"/>
  <c r="F5" i="4"/>
  <c r="E5" i="4"/>
  <c r="D5" i="4"/>
  <c r="C5" i="4"/>
  <c r="H4" i="4"/>
  <c r="G4" i="4"/>
  <c r="F4" i="4"/>
  <c r="E4" i="4"/>
  <c r="D4" i="4"/>
  <c r="C4" i="4"/>
  <c r="T93" i="2"/>
  <c r="P93" i="2"/>
  <c r="R93" i="2" s="1"/>
  <c r="T92" i="2"/>
  <c r="P92" i="2"/>
  <c r="R92" i="2" s="1"/>
  <c r="T91" i="2"/>
  <c r="P91" i="2"/>
  <c r="R91" i="2" s="1"/>
  <c r="M91" i="2"/>
  <c r="L91" i="2"/>
  <c r="K91" i="2"/>
  <c r="J91" i="2"/>
  <c r="I91" i="2"/>
  <c r="H91" i="2"/>
  <c r="P90" i="2"/>
  <c r="Q90" i="2" s="1"/>
  <c r="P89" i="2"/>
  <c r="R89" i="2" s="1"/>
  <c r="D89" i="2" s="1"/>
  <c r="T89" i="2" s="1"/>
  <c r="P88" i="2"/>
  <c r="R88" i="2" s="1"/>
  <c r="D88" i="2" s="1"/>
  <c r="T88" i="2" s="1"/>
  <c r="P87" i="2"/>
  <c r="Q87" i="2" s="1"/>
  <c r="T86" i="2"/>
  <c r="P86" i="2"/>
  <c r="R86" i="2" s="1"/>
  <c r="M86" i="2"/>
  <c r="K86" i="2"/>
  <c r="I86" i="2"/>
  <c r="P85" i="2"/>
  <c r="P84" i="2"/>
  <c r="R84" i="2" s="1"/>
  <c r="D84" i="2" s="1"/>
  <c r="T84" i="2" s="1"/>
  <c r="P83" i="2"/>
  <c r="R83" i="2" s="1"/>
  <c r="D83" i="2" s="1"/>
  <c r="T83" i="2" s="1"/>
  <c r="T82" i="2"/>
  <c r="P82" i="2"/>
  <c r="M82" i="2"/>
  <c r="L82" i="2"/>
  <c r="K82" i="2"/>
  <c r="J82" i="2"/>
  <c r="I82" i="2"/>
  <c r="H82" i="2"/>
  <c r="P81" i="2"/>
  <c r="R81" i="2" s="1"/>
  <c r="D81" i="2" s="1"/>
  <c r="T81" i="2" s="1"/>
  <c r="P80" i="2"/>
  <c r="Q80" i="2" s="1"/>
  <c r="P79" i="2"/>
  <c r="P78" i="2"/>
  <c r="T77" i="2"/>
  <c r="P77" i="2"/>
  <c r="Q77" i="2" s="1"/>
  <c r="M77" i="2"/>
  <c r="L77" i="2"/>
  <c r="K77" i="2"/>
  <c r="J77" i="2"/>
  <c r="I77" i="2"/>
  <c r="H77" i="2"/>
  <c r="P76" i="2"/>
  <c r="P75" i="2"/>
  <c r="P74" i="2"/>
  <c r="T73" i="2"/>
  <c r="P73" i="2"/>
  <c r="M73" i="2"/>
  <c r="L73" i="2"/>
  <c r="K73" i="2"/>
  <c r="J73" i="2"/>
  <c r="I73" i="2"/>
  <c r="H73" i="2"/>
  <c r="P72" i="2"/>
  <c r="P71" i="2"/>
  <c r="P70" i="2"/>
  <c r="P69" i="2"/>
  <c r="R69" i="2" s="1"/>
  <c r="D69" i="2" s="1"/>
  <c r="T69" i="2" s="1"/>
  <c r="T68" i="2"/>
  <c r="P68" i="2"/>
  <c r="M68" i="2"/>
  <c r="K68" i="2"/>
  <c r="I68" i="2"/>
  <c r="P67" i="2"/>
  <c r="P66" i="2"/>
  <c r="T65" i="2"/>
  <c r="P65" i="2"/>
  <c r="Q65" i="2" s="1"/>
  <c r="M65" i="2"/>
  <c r="L65" i="2"/>
  <c r="K65" i="2"/>
  <c r="J65" i="2"/>
  <c r="I65" i="2"/>
  <c r="H65" i="2"/>
  <c r="P64" i="2"/>
  <c r="P63" i="2"/>
  <c r="P62" i="2"/>
  <c r="R62" i="2" s="1"/>
  <c r="D62" i="2" s="1"/>
  <c r="T62" i="2" s="1"/>
  <c r="P61" i="2"/>
  <c r="P60" i="2"/>
  <c r="P59" i="2"/>
  <c r="R59" i="2" s="1"/>
  <c r="D59" i="2" s="1"/>
  <c r="T59" i="2" s="1"/>
  <c r="T58" i="2"/>
  <c r="P58" i="2"/>
  <c r="R58" i="2" s="1"/>
  <c r="M58" i="2"/>
  <c r="L58" i="2"/>
  <c r="K58" i="2"/>
  <c r="J58" i="2"/>
  <c r="I58" i="2"/>
  <c r="H58" i="2"/>
  <c r="P57" i="2"/>
  <c r="R57" i="2" s="1"/>
  <c r="D57" i="2" s="1"/>
  <c r="T57" i="2" s="1"/>
  <c r="P56" i="2"/>
  <c r="P55" i="2"/>
  <c r="P54" i="2"/>
  <c r="P53" i="2"/>
  <c r="T52" i="2"/>
  <c r="P52" i="2"/>
  <c r="R52" i="2" s="1"/>
  <c r="M52" i="2"/>
  <c r="L52" i="2"/>
  <c r="K52" i="2"/>
  <c r="J52" i="2"/>
  <c r="I52" i="2"/>
  <c r="H52" i="2"/>
  <c r="P51" i="2"/>
  <c r="P50" i="2"/>
  <c r="P49" i="2"/>
  <c r="P48" i="2"/>
  <c r="R48" i="2" s="1"/>
  <c r="D48" i="2" s="1"/>
  <c r="T48" i="2" s="1"/>
  <c r="P47" i="2"/>
  <c r="R47" i="2" s="1"/>
  <c r="D47" i="2" s="1"/>
  <c r="T47" i="2" s="1"/>
  <c r="T46" i="2"/>
  <c r="P46" i="2"/>
  <c r="M46" i="2"/>
  <c r="L46" i="2"/>
  <c r="K46" i="2"/>
  <c r="J46" i="2"/>
  <c r="I46" i="2"/>
  <c r="H46" i="2"/>
  <c r="P45" i="2"/>
  <c r="Q45" i="2" s="1"/>
  <c r="C45" i="2" s="1"/>
  <c r="P44" i="2"/>
  <c r="P43" i="2"/>
  <c r="R43" i="2" s="1"/>
  <c r="D43" i="2" s="1"/>
  <c r="T43" i="2" s="1"/>
  <c r="P42" i="2"/>
  <c r="R42" i="2" s="1"/>
  <c r="D42" i="2" s="1"/>
  <c r="T42" i="2" s="1"/>
  <c r="T41" i="2"/>
  <c r="P41" i="2"/>
  <c r="M41" i="2"/>
  <c r="K41" i="2"/>
  <c r="I41" i="2"/>
  <c r="N41" i="2" s="1"/>
  <c r="P40" i="2"/>
  <c r="R40" i="2" s="1"/>
  <c r="D40" i="2" s="1"/>
  <c r="T40" i="2" s="1"/>
  <c r="P39" i="2"/>
  <c r="T38" i="2"/>
  <c r="P38" i="2"/>
  <c r="M38" i="2"/>
  <c r="K38" i="2"/>
  <c r="I38" i="2"/>
  <c r="P37" i="2"/>
  <c r="P36" i="2"/>
  <c r="T35" i="2"/>
  <c r="P35" i="2"/>
  <c r="M35" i="2"/>
  <c r="K35" i="2"/>
  <c r="P34" i="2"/>
  <c r="R34" i="2" s="1"/>
  <c r="D34" i="2" s="1"/>
  <c r="T34" i="2" s="1"/>
  <c r="P33" i="2"/>
  <c r="R33" i="2" s="1"/>
  <c r="D33" i="2"/>
  <c r="T33" i="2" s="1"/>
  <c r="P32" i="2"/>
  <c r="P31" i="2"/>
  <c r="P30" i="2"/>
  <c r="R30" i="2" s="1"/>
  <c r="D30" i="2" s="1"/>
  <c r="T30" i="2" s="1"/>
  <c r="P29" i="2"/>
  <c r="T28" i="2"/>
  <c r="P28" i="2"/>
  <c r="M28" i="2"/>
  <c r="L28" i="2"/>
  <c r="K28" i="2"/>
  <c r="J28" i="2"/>
  <c r="I28" i="2"/>
  <c r="H28" i="2"/>
  <c r="P27" i="2"/>
  <c r="Q27" i="2" s="1"/>
  <c r="C27" i="2" s="1"/>
  <c r="P26" i="2"/>
  <c r="R26" i="2" s="1"/>
  <c r="D26" i="2" s="1"/>
  <c r="T26" i="2" s="1"/>
  <c r="P25" i="2"/>
  <c r="R25" i="2" s="1"/>
  <c r="D25" i="2" s="1"/>
  <c r="T25" i="2" s="1"/>
  <c r="P24" i="2"/>
  <c r="Q24" i="2" s="1"/>
  <c r="C24" i="2" s="1"/>
  <c r="P23" i="2"/>
  <c r="T22" i="2"/>
  <c r="P22" i="2"/>
  <c r="Q22" i="2" s="1"/>
  <c r="M22" i="2"/>
  <c r="L22" i="2"/>
  <c r="K22" i="2"/>
  <c r="J22" i="2"/>
  <c r="I22" i="2"/>
  <c r="H22" i="2"/>
  <c r="P21" i="2"/>
  <c r="R21" i="2" s="1"/>
  <c r="D21" i="2" s="1"/>
  <c r="T21" i="2" s="1"/>
  <c r="P20" i="2"/>
  <c r="R20" i="2" s="1"/>
  <c r="D20" i="2" s="1"/>
  <c r="T20" i="2" s="1"/>
  <c r="P19" i="2"/>
  <c r="Q19" i="2" s="1"/>
  <c r="C19" i="2" s="1"/>
  <c r="P18" i="2"/>
  <c r="T17" i="2"/>
  <c r="P17" i="2"/>
  <c r="M17" i="2"/>
  <c r="L17" i="2"/>
  <c r="K17" i="2"/>
  <c r="J17" i="2"/>
  <c r="I17" i="2"/>
  <c r="H17" i="2"/>
  <c r="P16" i="2"/>
  <c r="P15" i="2"/>
  <c r="R15" i="2" s="1"/>
  <c r="D15" i="2" s="1"/>
  <c r="T15" i="2" s="1"/>
  <c r="P14" i="2"/>
  <c r="Q14" i="2" s="1"/>
  <c r="C14" i="2" s="1"/>
  <c r="P13" i="2"/>
  <c r="Q13" i="2" s="1"/>
  <c r="C13" i="2" s="1"/>
  <c r="P12" i="2"/>
  <c r="R12" i="2" s="1"/>
  <c r="D12" i="2" s="1"/>
  <c r="T12" i="2" s="1"/>
  <c r="T11" i="2"/>
  <c r="P11" i="2"/>
  <c r="Q11" i="2" s="1"/>
  <c r="L11" i="2"/>
  <c r="K11" i="2"/>
  <c r="J11" i="2"/>
  <c r="I11" i="2"/>
  <c r="H11" i="2"/>
  <c r="P10" i="2"/>
  <c r="R10" i="2" s="1"/>
  <c r="D10" i="2" s="1"/>
  <c r="T10" i="2" s="1"/>
  <c r="P9" i="2"/>
  <c r="Q9" i="2" s="1"/>
  <c r="C9" i="2" s="1"/>
  <c r="P8" i="2"/>
  <c r="P7" i="2"/>
  <c r="R7" i="2" s="1"/>
  <c r="D7" i="2" s="1"/>
  <c r="T7" i="2" s="1"/>
  <c r="P6" i="2"/>
  <c r="P5" i="2"/>
  <c r="R5" i="2" s="1"/>
  <c r="D5" i="2" s="1"/>
  <c r="T5" i="2" s="1"/>
  <c r="R6" i="2" l="1"/>
  <c r="D6" i="2" s="1"/>
  <c r="T6" i="2" s="1"/>
  <c r="Q6" i="2"/>
  <c r="Q8" i="2"/>
  <c r="C8" i="2" s="1"/>
  <c r="R8" i="2"/>
  <c r="D8" i="2" s="1"/>
  <c r="T8" i="2" s="1"/>
  <c r="Q16" i="2"/>
  <c r="R16" i="2"/>
  <c r="D16" i="2" s="1"/>
  <c r="T16" i="2" s="1"/>
  <c r="Q17" i="2"/>
  <c r="R17" i="2"/>
  <c r="R18" i="2"/>
  <c r="D18" i="2" s="1"/>
  <c r="T18" i="2" s="1"/>
  <c r="Q18" i="2"/>
  <c r="C18" i="2" s="1"/>
  <c r="R23" i="2"/>
  <c r="D23" i="2" s="1"/>
  <c r="T23" i="2" s="1"/>
  <c r="Q23" i="2"/>
  <c r="C23" i="2" s="1"/>
  <c r="R28" i="2"/>
  <c r="Q28" i="2"/>
  <c r="R31" i="2"/>
  <c r="D31" i="2" s="1"/>
  <c r="T31" i="2" s="1"/>
  <c r="Q31" i="2"/>
  <c r="R35" i="2"/>
  <c r="Q35" i="2"/>
  <c r="S35" i="2" s="1"/>
  <c r="R36" i="2"/>
  <c r="D36" i="2" s="1"/>
  <c r="T36" i="2" s="1"/>
  <c r="Q36" i="2"/>
  <c r="C36" i="2" s="1"/>
  <c r="Q38" i="2"/>
  <c r="R38" i="2"/>
  <c r="Q44" i="2"/>
  <c r="C44" i="2" s="1"/>
  <c r="R44" i="2"/>
  <c r="D44" i="2" s="1"/>
  <c r="T44" i="2" s="1"/>
  <c r="R49" i="2"/>
  <c r="D49" i="2" s="1"/>
  <c r="T49" i="2" s="1"/>
  <c r="Q49" i="2"/>
  <c r="S49" i="2" s="1"/>
  <c r="Q50" i="2"/>
  <c r="C50" i="2" s="1"/>
  <c r="R50" i="2"/>
  <c r="D50" i="2" s="1"/>
  <c r="T50" i="2" s="1"/>
  <c r="R53" i="2"/>
  <c r="D53" i="2" s="1"/>
  <c r="T53" i="2" s="1"/>
  <c r="Q53" i="2"/>
  <c r="Q54" i="2"/>
  <c r="R54" i="2"/>
  <c r="D54" i="2" s="1"/>
  <c r="T54" i="2" s="1"/>
  <c r="Q55" i="2"/>
  <c r="C55" i="2" s="1"/>
  <c r="R55" i="2"/>
  <c r="D55" i="2" s="1"/>
  <c r="T55" i="2" s="1"/>
  <c r="Q60" i="2"/>
  <c r="C60" i="2" s="1"/>
  <c r="R60" i="2"/>
  <c r="S60" i="2" s="1"/>
  <c r="Q63" i="2"/>
  <c r="R63" i="2"/>
  <c r="D63" i="2" s="1"/>
  <c r="T63" i="2" s="1"/>
  <c r="R67" i="2"/>
  <c r="D67" i="2" s="1"/>
  <c r="T67" i="2" s="1"/>
  <c r="Q67" i="2"/>
  <c r="C67" i="2" s="1"/>
  <c r="Q70" i="2"/>
  <c r="R70" i="2"/>
  <c r="D70" i="2" s="1"/>
  <c r="T70" i="2" s="1"/>
  <c r="R72" i="2"/>
  <c r="D72" i="2" s="1"/>
  <c r="T72" i="2" s="1"/>
  <c r="Q72" i="2"/>
  <c r="R74" i="2"/>
  <c r="D74" i="2" s="1"/>
  <c r="T74" i="2" s="1"/>
  <c r="Q74" i="2"/>
  <c r="C74" i="2" s="1"/>
  <c r="Q75" i="2"/>
  <c r="R75" i="2"/>
  <c r="D75" i="2" s="1"/>
  <c r="T75" i="2" s="1"/>
  <c r="R79" i="2"/>
  <c r="D79" i="2" s="1"/>
  <c r="T79" i="2" s="1"/>
  <c r="Q79" i="2"/>
  <c r="C79" i="2" s="1"/>
  <c r="Q82" i="2"/>
  <c r="R82" i="2"/>
  <c r="Q85" i="2"/>
  <c r="R85" i="2"/>
  <c r="D85" i="2" s="1"/>
  <c r="T85" i="2" s="1"/>
  <c r="N65" i="2"/>
  <c r="S16" i="2"/>
  <c r="C16" i="2"/>
  <c r="Q84" i="2"/>
  <c r="C84" i="2" s="1"/>
  <c r="R90" i="2"/>
  <c r="D90" i="2" s="1"/>
  <c r="T90" i="2" s="1"/>
  <c r="S28" i="2"/>
  <c r="S50" i="2"/>
  <c r="Q59" i="2"/>
  <c r="C59" i="2" s="1"/>
  <c r="S63" i="2"/>
  <c r="S70" i="2"/>
  <c r="R19" i="2"/>
  <c r="Q92" i="2"/>
  <c r="S92" i="2" s="1"/>
  <c r="C49" i="2"/>
  <c r="R14" i="2"/>
  <c r="D14" i="2" s="1"/>
  <c r="T14" i="2" s="1"/>
  <c r="Q33" i="2"/>
  <c r="R65" i="2"/>
  <c r="S65" i="2" s="1"/>
  <c r="S75" i="2"/>
  <c r="R80" i="2"/>
  <c r="D80" i="2" s="1"/>
  <c r="T80" i="2" s="1"/>
  <c r="S82" i="2"/>
  <c r="R87" i="2"/>
  <c r="D87" i="2" s="1"/>
  <c r="T87" i="2" s="1"/>
  <c r="N91" i="2"/>
  <c r="Q21" i="2"/>
  <c r="C21" i="2" s="1"/>
  <c r="Q26" i="2"/>
  <c r="C26" i="2" s="1"/>
  <c r="Q57" i="2"/>
  <c r="C57" i="2" s="1"/>
  <c r="Q58" i="2"/>
  <c r="R77" i="2"/>
  <c r="S77" i="2" s="1"/>
  <c r="S18" i="2"/>
  <c r="S31" i="2"/>
  <c r="N52" i="2"/>
  <c r="S17" i="2"/>
  <c r="Q42" i="2"/>
  <c r="R45" i="2"/>
  <c r="Q62" i="2"/>
  <c r="S62" i="2" s="1"/>
  <c r="Q69" i="2"/>
  <c r="S69" i="2" s="1"/>
  <c r="N77" i="2"/>
  <c r="Q86" i="2"/>
  <c r="S86" i="2" s="1"/>
  <c r="Q91" i="2"/>
  <c r="N28" i="2"/>
  <c r="R13" i="2"/>
  <c r="D13" i="2" s="1"/>
  <c r="T13" i="2" s="1"/>
  <c r="N86" i="2"/>
  <c r="N82" i="2"/>
  <c r="N73" i="2"/>
  <c r="N68" i="2"/>
  <c r="N58" i="2"/>
  <c r="N46" i="2"/>
  <c r="N38" i="2"/>
  <c r="N22" i="2"/>
  <c r="H23" i="4"/>
  <c r="N11" i="2"/>
  <c r="G23" i="4"/>
  <c r="F23" i="4"/>
  <c r="E23" i="4"/>
  <c r="C23" i="4"/>
  <c r="D23" i="4"/>
  <c r="R51" i="2"/>
  <c r="D51" i="2" s="1"/>
  <c r="T51" i="2" s="1"/>
  <c r="Q51" i="2"/>
  <c r="C54" i="2"/>
  <c r="S55" i="2"/>
  <c r="S58" i="2"/>
  <c r="D60" i="2"/>
  <c r="T60" i="2" s="1"/>
  <c r="C70" i="2"/>
  <c r="L93" i="2"/>
  <c r="K93" i="2"/>
  <c r="Q5" i="2"/>
  <c r="S14" i="2"/>
  <c r="Q25" i="2"/>
  <c r="Q30" i="2"/>
  <c r="Q34" i="2"/>
  <c r="R41" i="2"/>
  <c r="Q41" i="2"/>
  <c r="Q43" i="2"/>
  <c r="Q47" i="2"/>
  <c r="R68" i="2"/>
  <c r="Q68" i="2"/>
  <c r="S68" i="2" s="1"/>
  <c r="C75" i="2"/>
  <c r="H93" i="2"/>
  <c r="M93" i="2"/>
  <c r="S33" i="2"/>
  <c r="C33" i="2"/>
  <c r="R32" i="2"/>
  <c r="D32" i="2" s="1"/>
  <c r="T32" i="2" s="1"/>
  <c r="Q32" i="2"/>
  <c r="R56" i="2"/>
  <c r="D56" i="2" s="1"/>
  <c r="T56" i="2" s="1"/>
  <c r="Q56" i="2"/>
  <c r="R73" i="2"/>
  <c r="Q73" i="2"/>
  <c r="C31" i="2"/>
  <c r="R37" i="2"/>
  <c r="D37" i="2" s="1"/>
  <c r="T37" i="2" s="1"/>
  <c r="Q37" i="2"/>
  <c r="Q40" i="2"/>
  <c r="Q52" i="2"/>
  <c r="S52" i="2" s="1"/>
  <c r="R78" i="2"/>
  <c r="D78" i="2" s="1"/>
  <c r="T78" i="2" s="1"/>
  <c r="Q78" i="2"/>
  <c r="J93" i="2"/>
  <c r="S91" i="2"/>
  <c r="Q10" i="2"/>
  <c r="S13" i="2"/>
  <c r="R24" i="2"/>
  <c r="D24" i="2" s="1"/>
  <c r="T24" i="2" s="1"/>
  <c r="R29" i="2"/>
  <c r="D29" i="2" s="1"/>
  <c r="T29" i="2" s="1"/>
  <c r="Q29" i="2"/>
  <c r="N35" i="2"/>
  <c r="R46" i="2"/>
  <c r="Q46" i="2"/>
  <c r="S46" i="2" s="1"/>
  <c r="Q48" i="2"/>
  <c r="C63" i="2"/>
  <c r="S67" i="2"/>
  <c r="C69" i="2"/>
  <c r="S6" i="2"/>
  <c r="C6" i="2"/>
  <c r="S42" i="2"/>
  <c r="C42" i="2"/>
  <c r="R11" i="2"/>
  <c r="S11" i="2" s="1"/>
  <c r="R22" i="2"/>
  <c r="S22" i="2" s="1"/>
  <c r="S23" i="2"/>
  <c r="R64" i="2"/>
  <c r="D64" i="2" s="1"/>
  <c r="T64" i="2" s="1"/>
  <c r="Q64" i="2"/>
  <c r="S72" i="2"/>
  <c r="C72" i="2"/>
  <c r="I27" i="6"/>
  <c r="Q7" i="2"/>
  <c r="S8" i="2"/>
  <c r="Q12" i="2"/>
  <c r="Q15" i="2"/>
  <c r="S21" i="2"/>
  <c r="R27" i="2"/>
  <c r="R61" i="2"/>
  <c r="D61" i="2" s="1"/>
  <c r="T61" i="2" s="1"/>
  <c r="Q61" i="2"/>
  <c r="C85" i="2"/>
  <c r="S85" i="2"/>
  <c r="S53" i="2"/>
  <c r="C53" i="2"/>
  <c r="R71" i="2"/>
  <c r="D71" i="2" s="1"/>
  <c r="T71" i="2" s="1"/>
  <c r="Q71" i="2"/>
  <c r="C80" i="2"/>
  <c r="S80" i="2"/>
  <c r="C87" i="2"/>
  <c r="S87" i="2"/>
  <c r="R9" i="2"/>
  <c r="D9" i="2" s="1"/>
  <c r="T9" i="2" s="1"/>
  <c r="N17" i="2"/>
  <c r="Q20" i="2"/>
  <c r="S26" i="2"/>
  <c r="S36" i="2"/>
  <c r="R39" i="2"/>
  <c r="D39" i="2" s="1"/>
  <c r="T39" i="2" s="1"/>
  <c r="Q39" i="2"/>
  <c r="S44" i="2"/>
  <c r="S57" i="2"/>
  <c r="S59" i="2"/>
  <c r="R66" i="2"/>
  <c r="D66" i="2" s="1"/>
  <c r="T66" i="2" s="1"/>
  <c r="Q66" i="2"/>
  <c r="S74" i="2"/>
  <c r="R76" i="2"/>
  <c r="D76" i="2" s="1"/>
  <c r="T76" i="2" s="1"/>
  <c r="Q76" i="2"/>
  <c r="Q83" i="2"/>
  <c r="C90" i="2"/>
  <c r="Q93" i="2"/>
  <c r="S93" i="2" s="1"/>
  <c r="S79" i="2"/>
  <c r="I93" i="2"/>
  <c r="Q89" i="2"/>
  <c r="Q81" i="2"/>
  <c r="Q88" i="2"/>
  <c r="S54" i="2" l="1"/>
  <c r="S38" i="2"/>
  <c r="S45" i="2"/>
  <c r="D45" i="2"/>
  <c r="T45" i="2" s="1"/>
  <c r="S73" i="2"/>
  <c r="C62" i="2"/>
  <c r="S19" i="2"/>
  <c r="D19" i="2"/>
  <c r="T19" i="2" s="1"/>
  <c r="S90" i="2"/>
  <c r="S9" i="2"/>
  <c r="S84" i="2"/>
  <c r="N93" i="2"/>
  <c r="C25" i="2"/>
  <c r="S25" i="2"/>
  <c r="C83" i="2"/>
  <c r="S83" i="2"/>
  <c r="C81" i="2"/>
  <c r="S81" i="2"/>
  <c r="S10" i="2"/>
  <c r="C10" i="2"/>
  <c r="F45" i="4"/>
  <c r="D44" i="4"/>
  <c r="H42" i="4"/>
  <c r="F41" i="4"/>
  <c r="D40" i="4"/>
  <c r="H38" i="4"/>
  <c r="F37" i="4"/>
  <c r="D36" i="4"/>
  <c r="H34" i="4"/>
  <c r="F33" i="4"/>
  <c r="D32" i="4"/>
  <c r="H30" i="4"/>
  <c r="F29" i="4"/>
  <c r="E45" i="4"/>
  <c r="C44" i="4"/>
  <c r="G42" i="4"/>
  <c r="E41" i="4"/>
  <c r="C40" i="4"/>
  <c r="G38" i="4"/>
  <c r="E37" i="4"/>
  <c r="C36" i="4"/>
  <c r="G34" i="4"/>
  <c r="E33" i="4"/>
  <c r="C32" i="4"/>
  <c r="G30" i="4"/>
  <c r="E29" i="4"/>
  <c r="D45" i="4"/>
  <c r="H43" i="4"/>
  <c r="F42" i="4"/>
  <c r="D41" i="4"/>
  <c r="H39" i="4"/>
  <c r="F38" i="4"/>
  <c r="D37" i="4"/>
  <c r="H35" i="4"/>
  <c r="F34" i="4"/>
  <c r="D33" i="4"/>
  <c r="H31" i="4"/>
  <c r="F30" i="4"/>
  <c r="D29" i="4"/>
  <c r="C45" i="4"/>
  <c r="G43" i="4"/>
  <c r="E42" i="4"/>
  <c r="C41" i="4"/>
  <c r="G39" i="4"/>
  <c r="E38" i="4"/>
  <c r="C37" i="4"/>
  <c r="G35" i="4"/>
  <c r="E34" i="4"/>
  <c r="C33" i="4"/>
  <c r="G31" i="4"/>
  <c r="E30" i="4"/>
  <c r="C29" i="4"/>
  <c r="H44" i="4"/>
  <c r="F43" i="4"/>
  <c r="D42" i="4"/>
  <c r="H40" i="4"/>
  <c r="F39" i="4"/>
  <c r="D38" i="4"/>
  <c r="H36" i="4"/>
  <c r="F35" i="4"/>
  <c r="D34" i="4"/>
  <c r="H32" i="4"/>
  <c r="F31" i="4"/>
  <c r="D30" i="4"/>
  <c r="G44" i="4"/>
  <c r="E43" i="4"/>
  <c r="C42" i="4"/>
  <c r="G40" i="4"/>
  <c r="E39" i="4"/>
  <c r="C38" i="4"/>
  <c r="G36" i="4"/>
  <c r="E35" i="4"/>
  <c r="C34" i="4"/>
  <c r="G32" i="4"/>
  <c r="E31" i="4"/>
  <c r="C30" i="4"/>
  <c r="H45" i="4"/>
  <c r="F44" i="4"/>
  <c r="D43" i="4"/>
  <c r="H41" i="4"/>
  <c r="F40" i="4"/>
  <c r="D39" i="4"/>
  <c r="H37" i="4"/>
  <c r="F36" i="4"/>
  <c r="D35" i="4"/>
  <c r="H33" i="4"/>
  <c r="F32" i="4"/>
  <c r="D31" i="4"/>
  <c r="H29" i="4"/>
  <c r="G45" i="4"/>
  <c r="E44" i="4"/>
  <c r="C43" i="4"/>
  <c r="G41" i="4"/>
  <c r="E40" i="4"/>
  <c r="C39" i="4"/>
  <c r="G37" i="4"/>
  <c r="E36" i="4"/>
  <c r="C35" i="4"/>
  <c r="G33" i="4"/>
  <c r="E32" i="4"/>
  <c r="C31" i="4"/>
  <c r="G29" i="4"/>
  <c r="S5" i="2"/>
  <c r="C5" i="2"/>
  <c r="C39" i="2"/>
  <c r="S39" i="2"/>
  <c r="C61" i="2"/>
  <c r="S61" i="2"/>
  <c r="C66" i="2"/>
  <c r="S66" i="2"/>
  <c r="S71" i="2"/>
  <c r="C71" i="2"/>
  <c r="D27" i="2"/>
  <c r="T27" i="2" s="1"/>
  <c r="S27" i="2"/>
  <c r="S43" i="2"/>
  <c r="C43" i="2"/>
  <c r="C51" i="2"/>
  <c r="S51" i="2"/>
  <c r="S7" i="2"/>
  <c r="C7" i="2"/>
  <c r="S40" i="2"/>
  <c r="C40" i="2"/>
  <c r="S37" i="2"/>
  <c r="C37" i="2"/>
  <c r="C20" i="2"/>
  <c r="S20" i="2"/>
  <c r="S24" i="2"/>
  <c r="S41" i="2"/>
  <c r="C88" i="2"/>
  <c r="S88" i="2"/>
  <c r="C56" i="2"/>
  <c r="S56" i="2"/>
  <c r="C76" i="2"/>
  <c r="S76" i="2"/>
  <c r="S89" i="2"/>
  <c r="C89" i="2"/>
  <c r="S32" i="2"/>
  <c r="C32" i="2"/>
  <c r="S48" i="2"/>
  <c r="C48" i="2"/>
  <c r="S64" i="2"/>
  <c r="C64" i="2"/>
  <c r="S12" i="2"/>
  <c r="C12" i="2"/>
  <c r="S30" i="2"/>
  <c r="C30" i="2"/>
  <c r="S47" i="2"/>
  <c r="C47" i="2"/>
  <c r="C15" i="2"/>
  <c r="S15" i="2"/>
  <c r="C29" i="2"/>
  <c r="S29" i="2"/>
  <c r="C78" i="2"/>
  <c r="S78" i="2"/>
  <c r="S34" i="2"/>
  <c r="C34" i="2"/>
  <c r="D46" i="4" l="1"/>
  <c r="G46" i="4"/>
  <c r="F46" i="4"/>
  <c r="C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tc={3DA55439-7C79-4A08-A6C2-86D670F99593}</author>
  </authors>
  <commentList>
    <comment ref="D1" authorId="0" shapeId="0" xr:uid="{3DA55439-7C79-4A08-A6C2-86D670F99593}">
      <text>
        <t>[Threaded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
      </text>
    </comment>
  </commentList>
</comments>
</file>

<file path=xl/sharedStrings.xml><?xml version="1.0" encoding="utf-8"?>
<sst xmlns="http://schemas.openxmlformats.org/spreadsheetml/2006/main" count="636" uniqueCount="190">
  <si>
    <t>SOA Plan Addendum Narrative Question</t>
  </si>
  <si>
    <t xml:space="preserve">How is the use of additional Chapter 70 funds – in conjunction with investments from other funding sources – enabling you to transform how your district serves students most in need of support? </t>
  </si>
  <si>
    <t>The additional Chapter 70 funds has been transformative for the Holyoke Public Schools. It has allowed HPS to invest in critical areas like counseling, enrichment, and early childhood. The District has formed a dual language program and established a community engagement team. There are many other critical investments made possible by the much needed infusion of funding into HPS. From FY08 until FY19, HPS actual net school spending increased from $79.5m to $82.6m. This increase of $3.1m over eleven years equates to less than half a percent increase in spending per year. Since 2019, actuall net school spending has increased by $27.0m over five years and allowed HPS to invest significantly more in its students and services for the school  community.</t>
  </si>
  <si>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</si>
  <si>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</si>
  <si>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</si>
  <si>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</si>
  <si>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</si>
  <si>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</si>
  <si>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</si>
  <si>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</si>
  <si>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</si>
  <si>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</si>
  <si>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</si>
  <si>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</si>
  <si>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</si>
  <si>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</si>
  <si>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</si>
  <si>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</si>
  <si>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</si>
  <si>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</si>
  <si>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</si>
  <si>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9"/>
        <color rgb="FF000000"/>
        <rFont val="Calibri"/>
        <family val="2"/>
        <charset val="1"/>
      </rPr>
      <t xml:space="preserve">1.1A </t>
    </r>
    <r>
      <rPr>
        <sz val="9"/>
        <color rgb="FF000000"/>
        <rFont val="Calibri"/>
        <family val="2"/>
        <charset val="1"/>
      </rPr>
      <t xml:space="preserve">Integrated Services for Student Wellbeing
</t>
    </r>
    <r>
      <rPr>
        <b/>
        <sz val="9"/>
        <color rgb="FF000000"/>
        <rFont val="Calibri"/>
        <family val="2"/>
        <charset val="1"/>
      </rPr>
      <t>1.1B</t>
    </r>
    <r>
      <rPr>
        <sz val="9"/>
        <color rgb="FF000000"/>
        <rFont val="Calibri"/>
        <family val="2"/>
        <charset val="1"/>
      </rPr>
      <t xml:space="preserve"> Enhanced Support for SEL and Mental Health
</t>
    </r>
    <r>
      <rPr>
        <b/>
        <sz val="9"/>
        <color rgb="FF000000"/>
        <rFont val="Calibri"/>
        <family val="2"/>
        <charset val="1"/>
      </rPr>
      <t xml:space="preserve">1.1C </t>
    </r>
    <r>
      <rPr>
        <sz val="9"/>
        <color rgb="FF000000"/>
        <rFont val="Calibri"/>
        <family val="2"/>
        <charset val="1"/>
      </rPr>
      <t>Positive School Environments</t>
    </r>
  </si>
  <si>
    <t>Salaries - Other</t>
  </si>
  <si>
    <t>Guidance and Psychological</t>
  </si>
  <si>
    <t>Salaries of staff members who spend &gt;80% of their time supporting student health and wellbeing (e.g., adjustment counselors, BCBAs, psychologists, social workers)</t>
  </si>
  <si>
    <t>Contractual Services</t>
  </si>
  <si>
    <t>Partnerships with organizations who provide direct mental health services to students</t>
  </si>
  <si>
    <t>5% inflation</t>
  </si>
  <si>
    <t>Supplies and Materials</t>
  </si>
  <si>
    <t>Instructional Materials, Equip., and Tech.</t>
  </si>
  <si>
    <t>Supplies and materials purchased to support social-emotional learning (SEL) including SEL curriculum</t>
  </si>
  <si>
    <t>Professional Development</t>
  </si>
  <si>
    <t>Vendors who provide professional development or coaching on SEL/mental health topics</t>
  </si>
  <si>
    <t>Operations and Maintenance</t>
  </si>
  <si>
    <t>Costs associated with facilities improvement projects (Note: do not include debt funded capital)</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</si>
  <si>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</si>
  <si>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</si>
  <si>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</si>
  <si>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</si>
  <si>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rPr>
        <b/>
        <sz val="9"/>
        <color rgb="FF000000"/>
        <rFont val="Calibri"/>
        <family val="2"/>
        <charset val="1"/>
      </rPr>
      <t>1.2A</t>
    </r>
    <r>
      <rPr>
        <sz val="9"/>
        <color rgb="FF000000"/>
        <rFont val="Calibri"/>
        <family val="2"/>
        <charset val="1"/>
      </rPr>
      <t xml:space="preserve"> Effective Student Support System
</t>
    </r>
    <r>
      <rPr>
        <b/>
        <sz val="9"/>
        <color rgb="FF000000"/>
        <rFont val="Calibri"/>
        <family val="2"/>
        <charset val="1"/>
      </rPr>
      <t>1.2B</t>
    </r>
    <r>
      <rPr>
        <sz val="9"/>
        <color rgb="FF000000"/>
        <rFont val="Calibri"/>
        <family val="2"/>
        <charset val="1"/>
      </rPr>
      <t xml:space="preserve"> Comprehensive Tiered Supports</t>
    </r>
  </si>
  <si>
    <t>Salaries - Instructional</t>
  </si>
  <si>
    <t>Instruction Leadership</t>
  </si>
  <si>
    <t>Salaries of individuals in leadership roles responsible for managing MTSS</t>
  </si>
  <si>
    <t>Classroom &amp; Specialist Teachers</t>
  </si>
  <si>
    <t>Salaries of teachers who spend &gt;80% of their time providing tiered supports to students (e.g., interventionists)</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</si>
  <si>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</si>
  <si>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</si>
  <si>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</si>
  <si>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9"/>
        <color rgb="FF000000"/>
        <rFont val="Calibri"/>
        <family val="2"/>
        <charset val="1"/>
      </rPr>
      <t>1.3A</t>
    </r>
    <r>
      <rPr>
        <sz val="9"/>
        <color rgb="FF000000"/>
        <rFont val="Calibri"/>
        <family val="2"/>
        <charset val="1"/>
      </rPr>
      <t xml:space="preserve"> Diverse Approaches to Meaningful Family Engagement
</t>
    </r>
    <r>
      <rPr>
        <b/>
        <sz val="9"/>
        <color rgb="FF000000"/>
        <rFont val="Calibri"/>
        <family val="2"/>
        <charset val="1"/>
      </rPr>
      <t>1.3B</t>
    </r>
    <r>
      <rPr>
        <sz val="9"/>
        <color rgb="FF000000"/>
        <rFont val="Calibri"/>
        <family val="2"/>
        <charset val="1"/>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</si>
  <si>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</si>
  <si>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</si>
  <si>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</si>
  <si>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</si>
  <si>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</si>
  <si>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</si>
  <si>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9"/>
        <color rgb="FF000000"/>
        <rFont val="Calibri"/>
        <family val="2"/>
        <charset val="1"/>
      </rPr>
      <t xml:space="preserve">2.1A </t>
    </r>
    <r>
      <rPr>
        <sz val="9"/>
        <color rgb="FF000000"/>
        <rFont val="Calibri"/>
        <family val="2"/>
        <charset val="1"/>
      </rPr>
      <t xml:space="preserve">Inclusive Curriculum Adoption Process
</t>
    </r>
    <r>
      <rPr>
        <b/>
        <sz val="9"/>
        <color rgb="FF000000"/>
        <rFont val="Calibri"/>
        <family val="2"/>
        <charset val="1"/>
      </rPr>
      <t xml:space="preserve">2.1B </t>
    </r>
    <r>
      <rPr>
        <sz val="9"/>
        <color rgb="FF000000"/>
        <rFont val="Calibri"/>
        <family val="2"/>
        <charset val="1"/>
      </rPr>
      <t>Supporting Curriculum Implementation</t>
    </r>
  </si>
  <si>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</si>
  <si>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</si>
  <si>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</si>
  <si>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</si>
  <si>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9"/>
        <color rgb="FF000000"/>
        <rFont val="Calibri"/>
        <family val="2"/>
        <charset val="1"/>
      </rPr>
      <t xml:space="preserve">2.1C </t>
    </r>
    <r>
      <rPr>
        <sz val="9"/>
        <color rgb="FF000000"/>
        <rFont val="Calibri"/>
        <family val="2"/>
        <charset val="1"/>
      </rPr>
      <t xml:space="preserve">Comprehensive Approach to Early Literacy 
</t>
    </r>
    <r>
      <rPr>
        <b/>
        <sz val="9"/>
        <color rgb="FF000000"/>
        <rFont val="Calibri"/>
        <family val="2"/>
        <charset val="1"/>
      </rPr>
      <t>2.1D</t>
    </r>
    <r>
      <rPr>
        <sz val="9"/>
        <color rgb="FF000000"/>
        <rFont val="Calibri"/>
        <family val="2"/>
        <charset val="1"/>
      </rPr>
      <t xml:space="preserve"> Early Literacy Screening and Support</t>
    </r>
  </si>
  <si>
    <t>Salaries of individuals in leadership or coaching roles responsible for early literacy PK-3</t>
  </si>
  <si>
    <t>Salaries of reading specialists or interventionists focused on reading in grades PK-3</t>
  </si>
  <si>
    <t>High quality instructional materials for early literacy (PK-3)</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</si>
  <si>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</si>
  <si>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</si>
  <si>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</si>
  <si>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9"/>
        <color rgb="FF000000"/>
        <rFont val="Calibri"/>
        <family val="2"/>
        <charset val="1"/>
      </rPr>
      <t>2.2A</t>
    </r>
    <r>
      <rPr>
        <sz val="9"/>
        <color rgb="FF000000"/>
        <rFont val="Calibri"/>
        <family val="2"/>
        <charset val="1"/>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</si>
  <si>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</si>
  <si>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</si>
  <si>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9"/>
        <color rgb="FF000000"/>
        <rFont val="Calibri"/>
        <family val="2"/>
        <charset val="1"/>
      </rPr>
      <t xml:space="preserve">2.2B </t>
    </r>
    <r>
      <rPr>
        <sz val="9"/>
        <color rgb="FF000000"/>
        <rFont val="Calibri"/>
        <family val="2"/>
        <charset val="1"/>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</si>
  <si>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</si>
  <si>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</si>
  <si>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9"/>
        <color rgb="FF000000"/>
        <rFont val="Calibri"/>
        <family val="2"/>
        <charset val="1"/>
      </rPr>
      <t xml:space="preserve">2.2C </t>
    </r>
    <r>
      <rPr>
        <sz val="9"/>
        <color rgb="FF000000"/>
        <rFont val="Calibri"/>
        <family val="2"/>
        <charset val="1"/>
      </rPr>
      <t>Collaborative Teaching Models</t>
    </r>
  </si>
  <si>
    <t>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</si>
  <si>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</si>
  <si>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</si>
  <si>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9"/>
        <color rgb="FF000000"/>
        <rFont val="Calibri"/>
        <family val="2"/>
        <charset val="1"/>
      </rPr>
      <t>2.2D</t>
    </r>
    <r>
      <rPr>
        <sz val="9"/>
        <color rgb="FF000000"/>
        <rFont val="Calibri"/>
        <family val="2"/>
        <charset val="1"/>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</si>
  <si>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</si>
  <si>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</si>
  <si>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</si>
  <si>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5% inflation, includes contracted tutors</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</si>
  <si>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</si>
  <si>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</si>
  <si>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</si>
  <si>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9"/>
        <color rgb="FF000000"/>
        <rFont val="Calibri"/>
        <family val="2"/>
        <charset val="1"/>
      </rPr>
      <t xml:space="preserve">2.3A </t>
    </r>
    <r>
      <rPr>
        <sz val="9"/>
        <color rgb="FF000000"/>
        <rFont val="Calibri"/>
        <family val="2"/>
        <charset val="1"/>
      </rPr>
      <t xml:space="preserve">Authentic Postsecondary Planning 
</t>
    </r>
    <r>
      <rPr>
        <b/>
        <sz val="9"/>
        <color rgb="FF000000"/>
        <rFont val="Calibri"/>
        <family val="2"/>
        <charset val="1"/>
      </rPr>
      <t xml:space="preserve">2.3B </t>
    </r>
    <r>
      <rPr>
        <sz val="9"/>
        <color rgb="FF000000"/>
        <rFont val="Calibri"/>
        <family val="2"/>
        <charset val="1"/>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</si>
  <si>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</si>
  <si>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</si>
  <si>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</si>
  <si>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</si>
  <si>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</si>
  <si>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</si>
  <si>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9"/>
        <color rgb="FF000000"/>
        <rFont val="Calibri"/>
        <family val="2"/>
        <charset val="1"/>
      </rPr>
      <t xml:space="preserve">2.4A </t>
    </r>
    <r>
      <rPr>
        <sz val="9"/>
        <color rgb="FF000000"/>
        <rFont val="Calibri"/>
        <family val="2"/>
        <charset val="1"/>
      </rPr>
      <t>Expanded Access to Pre-Kindergarten</t>
    </r>
  </si>
  <si>
    <t>Salaries - Administrator</t>
  </si>
  <si>
    <t>Administration</t>
  </si>
  <si>
    <t>Salaries of individuals in leadership roles responsible for coordinating full-day pre-K</t>
  </si>
  <si>
    <t>Salaries of teachers who teach in full-day pre-k classrooms</t>
  </si>
  <si>
    <t>Salaries - Clerical/Support</t>
  </si>
  <si>
    <t>Salaries of paraprofessionals who work in full-day pre-k classrooms</t>
  </si>
  <si>
    <t>Items procured specifically for full-day pre-k (e.g., building space, furniture, etc.)</t>
  </si>
  <si>
    <t>Supplies and materials purchased specifically for full-day pre-k classrooms (e.g., curriculum)</t>
  </si>
  <si>
    <t>includes contracted service providers</t>
  </si>
  <si>
    <r>
      <rPr>
        <b/>
        <sz val="9"/>
        <rFont val="Calibri"/>
        <family val="2"/>
        <charset val="1"/>
      </rPr>
      <t>2.4B</t>
    </r>
    <r>
      <rPr>
        <sz val="9"/>
        <rFont val="Calibri"/>
        <family val="2"/>
        <charset val="1"/>
      </rPr>
      <t xml:space="preserve"> Extended Learning Time </t>
    </r>
  </si>
  <si>
    <t>Stipends or cost of additional hours at hourly rate for teachers teaching during extended learning time</t>
  </si>
  <si>
    <t>includes coordinator and all payroll</t>
  </si>
  <si>
    <t>Vendors who provide enrichment services during the school day</t>
  </si>
  <si>
    <r>
      <rPr>
        <b/>
        <sz val="9"/>
        <color rgb="FF000000"/>
        <rFont val="Calibri"/>
        <family val="2"/>
        <charset val="1"/>
      </rPr>
      <t>2.4C</t>
    </r>
    <r>
      <rPr>
        <sz val="9"/>
        <color rgb="FF000000"/>
        <rFont val="Calibri"/>
        <family val="2"/>
        <charset val="1"/>
      </rPr>
      <t xml:space="preserve"> Effective Programming for Multilingual Learners</t>
    </r>
  </si>
  <si>
    <t>Salaries of teachers who teach in dual language education programs</t>
  </si>
  <si>
    <t>includes director of dual language and coach</t>
  </si>
  <si>
    <t>Vendors who provide professional development and/or coaching targeted in dual language education programs</t>
  </si>
  <si>
    <t>Supplies and materials purchased specifically for dual language education programs</t>
  </si>
  <si>
    <r>
      <rPr>
        <b/>
        <sz val="9"/>
        <color rgb="FF000000"/>
        <rFont val="Calibri"/>
        <family val="2"/>
        <charset val="1"/>
      </rPr>
      <t>2.4D</t>
    </r>
    <r>
      <rPr>
        <sz val="9"/>
        <color rgb="FF000000"/>
        <rFont val="Calibri"/>
        <family val="2"/>
        <charset val="1"/>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</si>
  <si>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</si>
  <si>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</si>
  <si>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</si>
  <si>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9"/>
        <color rgb="FF000000"/>
        <rFont val="Calibri"/>
        <family val="2"/>
        <charset val="1"/>
      </rPr>
      <t xml:space="preserve">3.1A </t>
    </r>
    <r>
      <rPr>
        <sz val="9"/>
        <color rgb="FF000000"/>
        <rFont val="Calibri"/>
        <family val="2"/>
        <charset val="1"/>
      </rPr>
      <t xml:space="preserve">Intentional Hiring Systems  
</t>
    </r>
    <r>
      <rPr>
        <b/>
        <sz val="9"/>
        <color rgb="FF000000"/>
        <rFont val="Calibri"/>
        <family val="2"/>
        <charset val="1"/>
      </rPr>
      <t xml:space="preserve">3.1B </t>
    </r>
    <r>
      <rPr>
        <sz val="9"/>
        <color rgb="FF000000"/>
        <rFont val="Calibri"/>
        <family val="2"/>
        <charset val="1"/>
      </rPr>
      <t xml:space="preserve">Enhanced Pathways to Increase Educator Diversity 
</t>
    </r>
    <r>
      <rPr>
        <b/>
        <sz val="9"/>
        <color rgb="FF000000"/>
        <rFont val="Calibri"/>
        <family val="2"/>
        <charset val="1"/>
      </rPr>
      <t>3.1C</t>
    </r>
    <r>
      <rPr>
        <sz val="9"/>
        <color rgb="FF000000"/>
        <rFont val="Calibri"/>
        <family val="2"/>
        <charset val="1"/>
      </rPr>
      <t xml:space="preserve"> Educator Preparation Partnerships</t>
    </r>
  </si>
  <si>
    <t>Salaries of individuals responsible for diversity, equity, and inclusion (DEI) efforts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</si>
  <si>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</si>
  <si>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</si>
  <si>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</si>
  <si>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9"/>
        <color rgb="FF000000"/>
        <rFont val="Calibri"/>
        <family val="2"/>
        <charset val="1"/>
      </rPr>
      <t xml:space="preserve">3.2A </t>
    </r>
    <r>
      <rPr>
        <sz val="9"/>
        <color rgb="FF000000"/>
        <rFont val="Calibri"/>
        <family val="2"/>
        <charset val="1"/>
      </rPr>
      <t xml:space="preserve">Inclusive School Environments 
</t>
    </r>
    <r>
      <rPr>
        <b/>
        <sz val="9"/>
        <color rgb="FF000000"/>
        <rFont val="Calibri"/>
        <family val="2"/>
        <charset val="1"/>
      </rPr>
      <t>3.2B</t>
    </r>
    <r>
      <rPr>
        <sz val="9"/>
        <color rgb="FF000000"/>
        <rFont val="Calibri"/>
        <family val="2"/>
        <charset val="1"/>
      </rPr>
      <t xml:space="preserve"> Retention Support Programs  
</t>
    </r>
    <r>
      <rPr>
        <b/>
        <sz val="9"/>
        <color rgb="FF000000"/>
        <rFont val="Calibri"/>
        <family val="2"/>
        <charset val="1"/>
      </rPr>
      <t xml:space="preserve">3.2C </t>
    </r>
    <r>
      <rPr>
        <sz val="9"/>
        <color rgb="FF000000"/>
        <rFont val="Calibri"/>
        <family val="2"/>
        <charset val="1"/>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</si>
  <si>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</si>
  <si>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</si>
  <si>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</si>
  <si>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</si>
  <si>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9"/>
        <color rgb="FF000000"/>
        <rFont val="Calibri"/>
        <family val="2"/>
        <charset val="1"/>
      </rPr>
      <t xml:space="preserve">3.3A </t>
    </r>
    <r>
      <rPr>
        <sz val="9"/>
        <color rgb="FF000000"/>
        <rFont val="Calibri"/>
        <family val="2"/>
        <charset val="1"/>
      </rPr>
      <t xml:space="preserve">Resource Allocation Aligned to Student Success  
</t>
    </r>
    <r>
      <rPr>
        <b/>
        <sz val="9"/>
        <color rgb="FF000000"/>
        <rFont val="Calibri"/>
        <family val="2"/>
        <charset val="1"/>
      </rPr>
      <t xml:space="preserve">3.3B </t>
    </r>
    <r>
      <rPr>
        <sz val="9"/>
        <color rgb="FF000000"/>
        <rFont val="Calibri"/>
        <family val="2"/>
        <charset val="1"/>
      </rPr>
      <t xml:space="preserve">Support for Effective Team Practices 
</t>
    </r>
    <r>
      <rPr>
        <b/>
        <sz val="9"/>
        <color rgb="FF000000"/>
        <rFont val="Calibri"/>
        <family val="2"/>
        <charset val="1"/>
      </rPr>
      <t>3.3C</t>
    </r>
    <r>
      <rPr>
        <sz val="9"/>
        <color rgb="FF000000"/>
        <rFont val="Calibri"/>
        <family val="2"/>
        <charset val="1"/>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</si>
  <si>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</si>
  <si>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</si>
  <si>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</si>
  <si>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</si>
  <si>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h</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</si>
  <si>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</si>
  <si>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</si>
  <si>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</si>
  <si>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</si>
  <si>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</si>
  <si>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</si>
  <si>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</si>
  <si>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</si>
  <si>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</si>
  <si>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</si>
  <si>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</si>
  <si>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</si>
  <si>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</si>
  <si>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</si>
  <si>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</si>
  <si>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</si>
  <si>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</si>
  <si>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</si>
  <si>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</si>
  <si>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</si>
  <si>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</si>
  <si>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</si>
  <si>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</si>
  <si>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</si>
  <si>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</si>
  <si>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</si>
  <si>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</si>
  <si>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</si>
  <si>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</si>
  <si>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</si>
  <si>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</si>
  <si>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</si>
  <si>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</si>
  <si>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</si>
  <si>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</si>
  <si>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</si>
  <si>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</si>
  <si>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</si>
  <si>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</si>
  <si>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01</t>
  </si>
  <si>
    <t>Professional Salaries</t>
  </si>
  <si>
    <t>06</t>
  </si>
  <si>
    <t>02</t>
  </si>
  <si>
    <t>Clerical Salaries</t>
  </si>
  <si>
    <t>04</t>
  </si>
  <si>
    <t>03</t>
  </si>
  <si>
    <t>Other Salaries</t>
  </si>
  <si>
    <t>Contracted Services</t>
  </si>
  <si>
    <t>05</t>
  </si>
  <si>
    <t>Other Expenses</t>
  </si>
  <si>
    <t>Operations and Management</t>
  </si>
  <si>
    <t>Removed</t>
  </si>
  <si>
    <t>Function Code</t>
  </si>
  <si>
    <t xml:space="preserve">Function </t>
  </si>
  <si>
    <t>COA Code</t>
  </si>
  <si>
    <t>Full Desc</t>
  </si>
  <si>
    <t xml:space="preserve">School Committee </t>
  </si>
  <si>
    <t xml:space="preserve">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</si>
</sst>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00;[Red]\-[$$-409]#,##0.00"/>
    <numFmt numFmtId="165" formatCode="\$#,##0.00_);[Red]&quot;($&quot;#,##0.00\)"/>
    <numFmt numFmtId="166" formatCode="0.0"/>
    <numFmt numFmtId="167" formatCode="[$$-409]#,##0;[Red]\-[$$-409]#,##0"/>
    <numFmt numFmtId="168" formatCode="\$#,##0_);[Red]&quot;($&quot;#,##0\)"/>
  </numFmts>
  <fonts count="31">
    <font>
      <sz val="10"/>
      <color rgb="FF000000"/>
      <name val="Arial"/>
      <charset val="1"/>
    </font>
    <font>
      <b/>
      <sz val="10"/>
      <color rgb="FF000000"/>
      <name val="Arial"/>
      <charset val="1"/>
    </font>
    <font>
      <b/>
      <sz val="14"/>
      <color rgb="FF000000"/>
      <name val="Calibri"/>
      <family val="2"/>
      <charset val="1"/>
    </font>
    <font>
      <b/>
      <sz val="10"/>
      <color rgb="FF000000"/>
      <name val="Calibri"/>
      <family val="2"/>
      <charset val="1"/>
    </font>
    <font>
      <sz val="10"/>
      <color rgb="FF000000"/>
      <name val="Calibri"/>
      <family val="2"/>
      <charset val="1"/>
    </font>
    <font>
      <sz val="12"/>
      <color rgb="FF000000"/>
      <name val="Calibri"/>
      <family val="2"/>
      <charset val="1"/>
    </font>
    <font>
      <sz val="12"/>
      <color rgb="FF000000"/>
      <name val="Arial"/>
      <family val="2"/>
      <charset val="1"/>
    </font>
    <font>
      <b/>
      <sz val="11"/>
      <color rgb="FF000000"/>
      <name val="Calibri"/>
      <family val="2"/>
      <charset val="1"/>
    </font>
    <font>
      <b/>
      <sz val="11"/>
      <color rgb="FFFFFFFF"/>
      <name val="Calibri"/>
      <family val="2"/>
      <charset val="1"/>
    </font>
    <font>
      <sz val="11"/>
      <color rgb="FF000000"/>
      <name val="Arial"/>
      <family val="2"/>
      <charset val="1"/>
    </font>
    <font>
      <b/>
      <sz val="11"/>
      <color rgb="FF000000"/>
      <name val="Arial"/>
      <family val="2"/>
      <charset val="1"/>
    </font>
    <font>
      <sz val="10"/>
      <name val="Arial"/>
      <charset val="1"/>
    </font>
    <font>
      <sz val="10"/>
      <name val="Calibri"/>
      <family val="2"/>
      <charset val="1"/>
    </font>
    <font>
      <b/>
      <sz val="9"/>
      <color rgb="FF000000"/>
      <name val="Calibri"/>
      <charset val="1"/>
    </font>
    <font>
      <b/>
      <sz val="9"/>
      <color rgb="FF000000"/>
      <name val="Calibri"/>
      <family val="2"/>
      <charset val="1"/>
    </font>
    <font>
      <sz val="9"/>
      <color rgb="FF000000"/>
      <name val="Calibri"/>
      <family val="2"/>
      <charset val="1"/>
    </font>
    <font>
      <sz val="8"/>
      <color rgb="FF000000"/>
      <name val="Calibri"/>
      <family val="2"/>
      <charset val="1"/>
    </font>
    <font>
      <i/>
      <sz val="8"/>
      <color rgb="FF000000"/>
      <name val="Calibri"/>
      <family val="2"/>
      <charset val="1"/>
    </font>
    <font>
      <sz val="9"/>
      <color rgb="FF000000"/>
      <name val="Calibri"/>
      <charset val="1"/>
    </font>
    <font>
      <b/>
      <sz val="8"/>
      <color rgb="FF000000"/>
      <name val="Calibri"/>
      <family val="2"/>
      <charset val="1"/>
    </font>
    <font>
      <b/>
      <sz val="10"/>
      <color rgb="FFFFFFFF"/>
      <name val="Calibri"/>
      <family val="2"/>
      <charset val="1"/>
    </font>
    <font>
      <b/>
      <sz val="9"/>
      <color rgb="FFFFFFFF"/>
      <name val="Calibri"/>
      <family val="2"/>
      <charset val="1"/>
    </font>
    <font>
      <b/>
      <sz val="9"/>
      <name val="Calibri"/>
      <family val="2"/>
      <charset val="1"/>
    </font>
    <font>
      <sz val="9"/>
      <name val="Calibri"/>
      <family val="2"/>
      <charset val="1"/>
    </font>
    <font>
      <b/>
      <sz val="11"/>
      <color rgb="FFFFFFFF"/>
      <name val="Calibri"/>
      <charset val="1"/>
    </font>
    <font>
      <b/>
      <sz val="11"/>
      <color rgb="FFFFFFFF"/>
      <name val="Arial"/>
      <charset val="1"/>
    </font>
    <font>
      <b/>
      <sz val="12"/>
      <color rgb="FFFFFFFF"/>
      <name val="Arial"/>
      <charset val="1"/>
    </font>
    <font>
      <b/>
      <sz val="10"/>
      <color rgb="FFFFFFFF"/>
      <name val="Arial"/>
      <charset val="1"/>
    </font>
    <font>
      <sz val="10"/>
      <color rgb="FFFFFFFF"/>
      <name val="Arial"/>
      <charset val="1"/>
    </font>
    <font>
      <sz val="10"/>
      <color rgb="FF000000"/>
      <name val="Arial"/>
      <family val="2"/>
      <charset val="1"/>
    </font>
    <font>
      <sz val="10"/>
      <color rgb="FF000000"/>
      <name val="Arial"/>
      <charset val="1"/>
    </font>
  </fonts>
  <fills count="11">
    <fill>
      <patternFill patternType="none"/>
    </fill>
    <fill>
      <patternFill patternType="gray125"/>
    </fill>
    <fill>
      <patternFill patternType="solid">
        <fgColor rgb="FFD9D9D9"/>
        <bgColor rgb="FFD9EAD3"/>
      </patternFill>
    </fill>
    <fill>
      <patternFill patternType="solid">
        <fgColor rgb="FFB3CEFB"/>
        <bgColor rgb="FFB4C7DC"/>
      </patternFill>
    </fill>
    <fill>
      <patternFill patternType="solid">
        <fgColor rgb="FFD9EAD3"/>
        <bgColor rgb="FFD9D9D9"/>
      </patternFill>
    </fill>
    <fill>
      <patternFill patternType="solid">
        <fgColor rgb="FFFFF2CC"/>
        <bgColor rgb="FFFCE5CD"/>
      </patternFill>
    </fill>
    <fill>
      <patternFill patternType="solid">
        <fgColor rgb="FFFCE5CD"/>
        <bgColor rgb="FFFFF2CC"/>
      </patternFill>
    </fill>
    <fill>
      <patternFill patternType="solid">
        <fgColor rgb="FF000000"/>
        <bgColor rgb="FF003300"/>
      </patternFill>
    </fill>
    <fill>
      <patternFill patternType="solid">
        <fgColor rgb="FF808080"/>
        <bgColor rgb="FF969696"/>
      </patternFill>
    </fill>
    <fill>
      <patternFill patternType="solid">
        <fgColor rgb="FFFFFFFF"/>
        <bgColor rgb="FFFFF2CC"/>
      </patternFill>
    </fill>
    <fill>
      <patternFill patternType="solid">
        <fgColor rgb="FFB4C7DC"/>
        <bgColor rgb="FFB3CEFB"/>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ck">
        <color auto="1"/>
      </left>
      <right/>
      <top style="thick">
        <color auto="1"/>
      </top>
      <bottom style="thick">
        <color auto="1"/>
      </bottom>
      <diagonal/>
    </border>
    <border>
      <left style="thin">
        <color auto="1"/>
      </left>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style="medium">
        <color auto="1"/>
      </right>
      <top/>
      <bottom/>
      <diagonal/>
    </border>
  </borders>
  <cellStyleXfs count="7">
    <xf numFmtId="0" fontId="0" fillId="0" borderId="0"/>
    <xf numFmtId="0" fontId="30" fillId="0" borderId="0" applyBorder="0" applyProtection="0">
      <alignment horizontal="left"/>
    </xf>
    <xf numFmtId="0" fontId="30" fillId="0" borderId="0" applyBorder="0" applyProtection="0"/>
    <xf numFmtId="0" fontId="30" fillId="0" borderId="0" applyBorder="0" applyProtection="0"/>
    <xf numFmtId="0" fontId="1" fillId="0" borderId="0" applyBorder="0" applyProtection="0"/>
    <xf numFmtId="0" fontId="1" fillId="0" borderId="0" applyBorder="0" applyProtection="0">
      <alignment horizontal="left"/>
    </xf>
    <xf numFmtId="0" fontId="30" fillId="0" borderId="0" applyBorder="0" applyProtection="0"/>
  </cellStyleXfs>
  <cellXfs count="111">
    <xf numFmtId="0" fontId="0" fillId="0" borderId="0" xfId="0"/>
    <xf numFmtId="0" fontId="0" fillId="0" borderId="0" xfId="0" applyAlignment="1">
      <alignment horizontal="left"/>
    </xf>
    <xf numFmtId="0" fontId="4" fillId="0" borderId="0" xfId="0" applyFont="1" applyAlignment="1">
      <alignment horizontal="left"/>
    </xf>
    <xf numFmtId="0" fontId="4" fillId="0" borderId="0" xfId="0" applyFont="1"/>
    <xf numFmtId="164" fontId="0" fillId="0" borderId="0" xfId="0" applyNumberFormat="1"/>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6" fillId="0" borderId="0" xfId="0" applyFont="1"/>
    <xf numFmtId="164" fontId="6" fillId="0" borderId="0" xfId="0" applyNumberFormat="1" applyFont="1"/>
    <xf numFmtId="0" fontId="9" fillId="0" borderId="0" xfId="0" applyFont="1" applyAlignment="1">
      <alignment vertical="center"/>
    </xf>
    <xf numFmtId="0" fontId="10" fillId="0" borderId="0" xfId="0" applyFont="1" applyAlignment="1">
      <alignment vertical="center"/>
    </xf>
    <xf numFmtId="0" fontId="9" fillId="0" borderId="0" xfId="0" applyFont="1"/>
    <xf numFmtId="164" fontId="7" fillId="4" borderId="3" xfId="0" applyNumberFormat="1"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164" fontId="7" fillId="6" borderId="3" xfId="0" applyNumberFormat="1" applyFont="1" applyFill="1" applyBorder="1" applyAlignment="1">
      <alignment horizontal="center" vertical="center" wrapText="1"/>
    </xf>
    <xf numFmtId="0" fontId="11" fillId="8" borderId="2" xfId="0" applyFont="1" applyFill="1" applyBorder="1" applyAlignment="1">
      <alignment horizontal="left"/>
    </xf>
    <xf numFmtId="0" fontId="12" fillId="8" borderId="3" xfId="0" applyFont="1" applyFill="1" applyBorder="1" applyAlignment="1">
      <alignment horizontal="left"/>
    </xf>
    <xf numFmtId="0" fontId="12" fillId="8" borderId="3" xfId="0" applyFont="1" applyFill="1" applyBorder="1" applyAlignment="1">
      <alignment horizontal="center"/>
    </xf>
    <xf numFmtId="0" fontId="11" fillId="8" borderId="3" xfId="0" applyFont="1" applyFill="1" applyBorder="1" applyAlignment="1">
      <alignment horizontal="left"/>
    </xf>
    <xf numFmtId="0" fontId="13" fillId="8" borderId="3" xfId="0" applyFont="1" applyFill="1" applyBorder="1" applyAlignment="1">
      <alignment horizontal="center" vertical="center" wrapText="1"/>
    </xf>
    <xf numFmtId="164" fontId="13" fillId="8" borderId="3" xfId="0" applyNumberFormat="1" applyFont="1" applyFill="1" applyBorder="1" applyAlignment="1">
      <alignment horizontal="center" vertical="center" wrapText="1"/>
    </xf>
    <xf numFmtId="0" fontId="0" fillId="0" borderId="0" xfId="0" applyAlignment="1">
      <alignment vertical="center"/>
    </xf>
    <xf numFmtId="0" fontId="15" fillId="0" borderId="3" xfId="0" applyFont="1" applyBorder="1" applyAlignment="1">
      <alignment horizontal="center" vertical="top"/>
    </xf>
    <xf numFmtId="0" fontId="18" fillId="0" borderId="3" xfId="0" applyFont="1" applyBorder="1" applyAlignment="1">
      <alignment horizontal="center" vertical="top" wrapText="1"/>
    </xf>
    <xf numFmtId="0" fontId="18" fillId="2" borderId="3" xfId="0" applyFont="1" applyFill="1" applyBorder="1" applyAlignment="1">
      <alignment horizontal="center" vertical="top" wrapText="1"/>
    </xf>
    <xf numFmtId="0" fontId="21" fillId="7" borderId="3" xfId="0" applyFont="1" applyFill="1" applyBorder="1" applyAlignment="1">
      <alignment horizontal="center" vertical="top" wrapText="1"/>
    </xf>
    <xf numFmtId="0" fontId="21" fillId="7" borderId="3" xfId="0" applyFont="1" applyFill="1" applyBorder="1" applyAlignment="1">
      <alignment horizontal="left" vertical="top" wrapText="1"/>
    </xf>
    <xf numFmtId="0" fontId="18" fillId="2" borderId="3" xfId="0" applyFont="1" applyFill="1" applyBorder="1" applyAlignment="1">
      <alignment vertical="top" wrapText="1"/>
    </xf>
    <xf numFmtId="0" fontId="21" fillId="9" borderId="3" xfId="0" applyFont="1" applyFill="1" applyBorder="1" applyAlignment="1">
      <alignment horizontal="left" vertical="top" wrapText="1"/>
    </xf>
    <xf numFmtId="165" fontId="20" fillId="9" borderId="3" xfId="0" applyNumberFormat="1" applyFont="1" applyFill="1" applyBorder="1"/>
    <xf numFmtId="166" fontId="24" fillId="7" borderId="3" xfId="0" applyNumberFormat="1" applyFont="1" applyFill="1" applyBorder="1" applyAlignment="1">
      <alignment horizontal="center" vertical="top" wrapText="1"/>
    </xf>
    <xf numFmtId="0" fontId="25" fillId="0" borderId="0" xfId="0" applyFont="1"/>
    <xf numFmtId="0" fontId="0" fillId="0" borderId="0" xfId="0" applyAlignment="1">
      <alignment horizontal="left" wrapText="1"/>
    </xf>
    <xf numFmtId="0" fontId="4"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wrapText="1"/>
    </xf>
    <xf numFmtId="164" fontId="0" fillId="0" borderId="0" xfId="0" applyNumberFormat="1" applyAlignment="1">
      <alignment wrapText="1"/>
    </xf>
    <xf numFmtId="0" fontId="0" fillId="10" borderId="13" xfId="0" applyFill="1" applyBorder="1"/>
    <xf numFmtId="0" fontId="0" fillId="10" borderId="0" xfId="0" applyFill="1"/>
    <xf numFmtId="0" fontId="1" fillId="0" borderId="13" xfId="0" applyFont="1" applyBorder="1"/>
    <xf numFmtId="0" fontId="1" fillId="0" borderId="0" xfId="0" applyFont="1"/>
    <xf numFmtId="0" fontId="1" fillId="0" borderId="14" xfId="0" applyFont="1" applyBorder="1"/>
    <xf numFmtId="0" fontId="0" fillId="0" borderId="13" xfId="0" applyBorder="1"/>
    <xf numFmtId="166" fontId="0" fillId="0" borderId="0" xfId="0" applyNumberFormat="1"/>
    <xf numFmtId="164" fontId="0" fillId="0" borderId="14" xfId="0" applyNumberFormat="1" applyBorder="1"/>
    <xf numFmtId="0" fontId="27" fillId="7" borderId="5" xfId="0" applyFont="1" applyFill="1" applyBorder="1"/>
    <xf numFmtId="0" fontId="28" fillId="7" borderId="15" xfId="0" applyFont="1" applyFill="1" applyBorder="1"/>
    <xf numFmtId="166" fontId="27" fillId="7" borderId="15" xfId="0" applyNumberFormat="1" applyFont="1" applyFill="1" applyBorder="1"/>
    <xf numFmtId="164" fontId="27" fillId="7" borderId="15" xfId="0" applyNumberFormat="1" applyFont="1" applyFill="1" applyBorder="1"/>
    <xf numFmtId="164" fontId="27" fillId="7" borderId="12" xfId="0" applyNumberFormat="1" applyFont="1" applyFill="1" applyBorder="1"/>
    <xf numFmtId="0" fontId="29" fillId="0" borderId="0" xfId="0" applyFont="1"/>
    <xf numFmtId="0" fontId="29" fillId="0" borderId="0" xfId="0" applyFont="1" applyAlignment="1">
      <alignment wrapText="1"/>
    </xf>
    <xf numFmtId="0" fontId="1" fillId="0" borderId="0" xfId="0" applyFont="1" applyAlignment="1">
      <alignment wrapText="1"/>
    </xf>
    <xf numFmtId="0" fontId="16" fillId="0" borderId="3"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3" xfId="0" applyFont="1" applyBorder="1" applyAlignment="1" applyProtection="1">
      <alignment vertical="top" wrapText="1"/>
      <protection locked="0"/>
    </xf>
    <xf numFmtId="0" fontId="13" fillId="7" borderId="0" xfId="0" applyFont="1" applyFill="1" applyAlignment="1" applyProtection="1">
      <alignment horizontal="left" vertical="center" wrapText="1"/>
      <protection locked="0"/>
    </xf>
    <xf numFmtId="0" fontId="14" fillId="7" borderId="3" xfId="0" applyFont="1" applyFill="1" applyBorder="1" applyAlignment="1" applyProtection="1">
      <alignment horizontal="left" vertical="center" wrapText="1"/>
      <protection locked="0"/>
    </xf>
    <xf numFmtId="0" fontId="19" fillId="7" borderId="3" xfId="0" applyFont="1" applyFill="1" applyBorder="1" applyAlignment="1" applyProtection="1">
      <alignment horizontal="left" vertical="top" wrapText="1"/>
      <protection locked="0"/>
    </xf>
    <xf numFmtId="0" fontId="20" fillId="7" borderId="3" xfId="0" applyFont="1" applyFill="1" applyBorder="1" applyAlignment="1" applyProtection="1">
      <alignment vertical="top" wrapText="1"/>
      <protection locked="0"/>
    </xf>
    <xf numFmtId="0" fontId="13" fillId="7" borderId="12" xfId="0" applyFont="1" applyFill="1" applyBorder="1" applyAlignment="1" applyProtection="1">
      <alignment horizontal="left" vertical="top" wrapText="1"/>
      <protection locked="0"/>
    </xf>
    <xf numFmtId="0" fontId="13" fillId="9" borderId="12" xfId="0" applyFont="1" applyFill="1" applyBorder="1" applyAlignment="1" applyProtection="1">
      <alignment horizontal="left" vertical="top" wrapText="1"/>
      <protection locked="0"/>
    </xf>
    <xf numFmtId="0" fontId="19" fillId="9" borderId="3" xfId="0" applyFont="1" applyFill="1" applyBorder="1" applyAlignment="1" applyProtection="1">
      <alignment horizontal="left" vertical="top" wrapText="1"/>
      <protection locked="0"/>
    </xf>
    <xf numFmtId="0" fontId="20" fillId="9" borderId="3" xfId="0" applyFont="1" applyFill="1" applyBorder="1" applyAlignment="1" applyProtection="1">
      <alignment vertical="top" wrapText="1"/>
      <protection locked="0"/>
    </xf>
    <xf numFmtId="0" fontId="24" fillId="7" borderId="2" xfId="0" applyFont="1" applyFill="1" applyBorder="1" applyAlignment="1" applyProtection="1">
      <alignment horizontal="left" vertical="top" wrapText="1"/>
      <protection locked="0"/>
    </xf>
    <xf numFmtId="0" fontId="8" fillId="7" borderId="3" xfId="0" applyFont="1" applyFill="1" applyBorder="1" applyAlignment="1" applyProtection="1">
      <alignment horizontal="left" vertical="center" wrapText="1"/>
      <protection locked="0"/>
    </xf>
    <xf numFmtId="166" fontId="24" fillId="7" borderId="3" xfId="0" applyNumberFormat="1" applyFont="1" applyFill="1" applyBorder="1" applyAlignment="1" applyProtection="1">
      <alignment horizontal="left" vertical="top" wrapText="1"/>
      <protection locked="0"/>
    </xf>
    <xf numFmtId="0" fontId="24" fillId="7" borderId="3" xfId="0" applyFont="1" applyFill="1" applyBorder="1" applyAlignment="1" applyProtection="1">
      <alignment horizontal="left" vertical="top" wrapText="1"/>
      <protection locked="0"/>
    </xf>
    <xf numFmtId="0" fontId="16" fillId="0" borderId="3" xfId="0" applyFont="1" applyBorder="1" applyAlignment="1">
      <alignment horizontal="left" vertical="top" wrapText="1"/>
    </xf>
    <xf numFmtId="0" fontId="19" fillId="7" borderId="3" xfId="0" applyFont="1" applyFill="1" applyBorder="1" applyAlignment="1">
      <alignment horizontal="left" vertical="top" wrapText="1"/>
    </xf>
    <xf numFmtId="167" fontId="18" fillId="0" borderId="3" xfId="0" applyNumberFormat="1" applyFont="1" applyBorder="1" applyAlignment="1">
      <alignment horizontal="center" vertical="top" wrapText="1"/>
    </xf>
    <xf numFmtId="167" fontId="18" fillId="9" borderId="3" xfId="0" applyNumberFormat="1" applyFont="1" applyFill="1" applyBorder="1" applyAlignment="1">
      <alignment horizontal="center" vertical="top" wrapText="1"/>
    </xf>
    <xf numFmtId="167" fontId="21" fillId="7" borderId="3" xfId="0" applyNumberFormat="1" applyFont="1" applyFill="1" applyBorder="1" applyAlignment="1">
      <alignment horizontal="center" vertical="top" wrapText="1"/>
    </xf>
    <xf numFmtId="167" fontId="21" fillId="9" borderId="3" xfId="0" applyNumberFormat="1" applyFont="1" applyFill="1" applyBorder="1" applyAlignment="1">
      <alignment horizontal="left" vertical="top" wrapText="1"/>
    </xf>
    <xf numFmtId="167" fontId="24" fillId="7" borderId="3" xfId="0" applyNumberFormat="1" applyFont="1" applyFill="1" applyBorder="1" applyAlignment="1">
      <alignment horizontal="center" vertical="top" wrapText="1"/>
    </xf>
    <xf numFmtId="168" fontId="8" fillId="7" borderId="3" xfId="0" applyNumberFormat="1" applyFont="1" applyFill="1" applyBorder="1"/>
    <xf numFmtId="168" fontId="20" fillId="7" borderId="3" xfId="0" applyNumberFormat="1" applyFont="1" applyFill="1" applyBorder="1"/>
    <xf numFmtId="0" fontId="14" fillId="9" borderId="3" xfId="0" applyFont="1" applyFill="1" applyBorder="1" applyAlignment="1" applyProtection="1">
      <alignment horizontal="left" vertical="center" wrapText="1"/>
      <protection locked="0"/>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8" fillId="2" borderId="16" xfId="0" applyFont="1" applyFill="1" applyBorder="1" applyAlignment="1">
      <alignment horizontal="center" vertical="top" wrapText="1"/>
    </xf>
    <xf numFmtId="0" fontId="2" fillId="2" borderId="1" xfId="0" applyFont="1" applyFill="1" applyBorder="1" applyAlignment="1">
      <alignment horizontal="center"/>
    </xf>
    <xf numFmtId="0" fontId="3" fillId="2" borderId="1" xfId="0" applyFont="1" applyFill="1" applyBorder="1" applyAlignment="1">
      <alignment horizontal="center" vertical="top" wrapText="1"/>
    </xf>
    <xf numFmtId="0" fontId="4" fillId="0" borderId="1" xfId="0" applyFont="1" applyBorder="1" applyAlignment="1">
      <alignment horizontal="left" vertical="top" wrapText="1"/>
    </xf>
    <xf numFmtId="0" fontId="8" fillId="7" borderId="4" xfId="0" applyFont="1" applyFill="1" applyBorder="1" applyAlignment="1">
      <alignment horizontal="center" vertical="center" wrapText="1"/>
    </xf>
    <xf numFmtId="0" fontId="13" fillId="0" borderId="5"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3"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3"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14" fillId="9" borderId="3" xfId="0" applyFont="1" applyFill="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22" fillId="0" borderId="3" xfId="0" applyFont="1" applyBorder="1" applyAlignment="1" applyProtection="1">
      <alignment horizontal="left" vertical="center"/>
      <protection locked="0"/>
    </xf>
    <xf numFmtId="0" fontId="13" fillId="0" borderId="12"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26" fillId="7" borderId="4" xfId="0" applyFont="1" applyFill="1" applyBorder="1" applyAlignment="1">
      <alignment horizontal="center"/>
    </xf>
  </cellXfs>
  <cellStyles count="7">
    <cellStyle name="Normal" xfId="0" builtinId="0"/>
    <cellStyle name="Pivot Table Category" xfId="1" xr:uid="{00000000-0005-0000-0000-000006000000}"/>
    <cellStyle name="Pivot Table Corner" xfId="2" xr:uid="{00000000-0005-0000-0000-000007000000}"/>
    <cellStyle name="Pivot Table Field" xfId="3" xr:uid="{00000000-0005-0000-0000-000008000000}"/>
    <cellStyle name="Pivot Table Result" xfId="4" xr:uid="{00000000-0005-0000-0000-000009000000}"/>
    <cellStyle name="Pivot Table Title" xfId="5" xr:uid="{00000000-0005-0000-0000-00000A000000}"/>
    <cellStyle name="Pivot Table Value" xfId="6"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2CC"/>
      <rgbColor rgb="FFD9D9D9"/>
      <rgbColor rgb="FF660066"/>
      <rgbColor rgb="FFFF8080"/>
      <rgbColor rgb="FF0066CC"/>
      <rgbColor rgb="FFB3CEFB"/>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CE5C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personId="{00000000-0000-0000-0000-000000000000}" id="{3DA55439-7C79-4A08-A6C2-86D670F99593}">
    <text>[Threaded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zoomScaleNormal="100" workbookViewId="0">
      <selection activeCell="I23" sqref="I23"/>
    </sheetView>
  </sheetViews>
  <sheetFormatPr defaultColWidth="8.5703125" defaultRowHeight="13.15"/>
  <sheetData>
    <row r="1" spans="1:11" ht="18">
      <c r="A1" s="86" t="s">
        <v>0</v>
      </c>
      <c r="B1" s="86"/>
      <c r="C1" s="86"/>
      <c r="D1" s="86"/>
      <c r="E1" s="86"/>
      <c r="F1" s="86"/>
      <c r="G1" s="86"/>
      <c r="H1" s="86"/>
      <c r="I1" s="86"/>
      <c r="J1" s="86"/>
      <c r="K1" s="86"/>
    </row>
    <row r="2" spans="1:11" ht="32.25" customHeight="1">
      <c r="A2" s="87" t="s">
        <v>1</v>
      </c>
      <c r="B2" s="87"/>
      <c r="C2" s="87"/>
      <c r="D2" s="87"/>
      <c r="E2" s="87"/>
      <c r="F2" s="87"/>
      <c r="G2" s="87"/>
      <c r="H2" s="87"/>
      <c r="I2" s="87"/>
      <c r="J2" s="87"/>
      <c r="K2" s="87"/>
    </row>
    <row r="3" spans="1:11" ht="12" customHeight="1">
      <c r="A3" s="88" t="s">
        <v>2</v>
      </c>
      <c r="B3" s="88"/>
      <c r="C3" s="88"/>
      <c r="D3" s="88"/>
      <c r="E3" s="88"/>
      <c r="F3" s="88"/>
      <c r="G3" s="88"/>
      <c r="H3" s="88"/>
      <c r="I3" s="88"/>
      <c r="J3" s="88"/>
      <c r="K3" s="88"/>
    </row>
    <row r="4" spans="1:11" ht="12" customHeight="1">
      <c r="A4" s="88"/>
      <c r="B4" s="88"/>
      <c r="C4" s="88"/>
      <c r="D4" s="88"/>
      <c r="E4" s="88"/>
      <c r="F4" s="88"/>
      <c r="G4" s="88"/>
      <c r="H4" s="88"/>
      <c r="I4" s="88"/>
      <c r="J4" s="88"/>
      <c r="K4" s="88"/>
    </row>
    <row r="5" spans="1:11" ht="12" customHeight="1">
      <c r="A5" s="88"/>
      <c r="B5" s="88"/>
      <c r="C5" s="88"/>
      <c r="D5" s="88"/>
      <c r="E5" s="88"/>
      <c r="F5" s="88"/>
      <c r="G5" s="88"/>
      <c r="H5" s="88"/>
      <c r="I5" s="88"/>
      <c r="J5" s="88"/>
      <c r="K5" s="88"/>
    </row>
    <row r="6" spans="1:11" ht="12" customHeight="1">
      <c r="A6" s="88"/>
      <c r="B6" s="88"/>
      <c r="C6" s="88"/>
      <c r="D6" s="88"/>
      <c r="E6" s="88"/>
      <c r="F6" s="88"/>
      <c r="G6" s="88"/>
      <c r="H6" s="88"/>
      <c r="I6" s="88"/>
      <c r="J6" s="88"/>
      <c r="K6" s="88"/>
    </row>
    <row r="7" spans="1:11" ht="12" customHeight="1">
      <c r="A7" s="88"/>
      <c r="B7" s="88"/>
      <c r="C7" s="88"/>
      <c r="D7" s="88"/>
      <c r="E7" s="88"/>
      <c r="F7" s="88"/>
      <c r="G7" s="88"/>
      <c r="H7" s="88"/>
      <c r="I7" s="88"/>
      <c r="J7" s="88"/>
      <c r="K7" s="88"/>
    </row>
    <row r="8" spans="1:11" ht="12" customHeight="1">
      <c r="A8" s="88"/>
      <c r="B8" s="88"/>
      <c r="C8" s="88"/>
      <c r="D8" s="88"/>
      <c r="E8" s="88"/>
      <c r="F8" s="88"/>
      <c r="G8" s="88"/>
      <c r="H8" s="88"/>
      <c r="I8" s="88"/>
      <c r="J8" s="88"/>
      <c r="K8" s="88"/>
    </row>
    <row r="9" spans="1:11" ht="12" customHeight="1">
      <c r="A9" s="88"/>
      <c r="B9" s="88"/>
      <c r="C9" s="88"/>
      <c r="D9" s="88"/>
      <c r="E9" s="88"/>
      <c r="F9" s="88"/>
      <c r="G9" s="88"/>
      <c r="H9" s="88"/>
      <c r="I9" s="88"/>
      <c r="J9" s="88"/>
      <c r="K9" s="88"/>
    </row>
    <row r="10" spans="1:11" ht="12" customHeight="1">
      <c r="A10" s="88"/>
      <c r="B10" s="88"/>
      <c r="C10" s="88"/>
      <c r="D10" s="88"/>
      <c r="E10" s="88"/>
      <c r="F10" s="88"/>
      <c r="G10" s="88"/>
      <c r="H10" s="88"/>
      <c r="I10" s="88"/>
      <c r="J10" s="88"/>
      <c r="K10" s="88"/>
    </row>
    <row r="11" spans="1:11" ht="12" customHeight="1">
      <c r="A11" s="88"/>
      <c r="B11" s="88"/>
      <c r="C11" s="88"/>
      <c r="D11" s="88"/>
      <c r="E11" s="88"/>
      <c r="F11" s="88"/>
      <c r="G11" s="88"/>
      <c r="H11" s="88"/>
      <c r="I11" s="88"/>
      <c r="J11" s="88"/>
      <c r="K11" s="88"/>
    </row>
    <row r="12" spans="1:11" ht="12" customHeight="1">
      <c r="A12" s="88"/>
      <c r="B12" s="88"/>
      <c r="C12" s="88"/>
      <c r="D12" s="88"/>
      <c r="E12" s="88"/>
      <c r="F12" s="88"/>
      <c r="G12" s="88"/>
      <c r="H12" s="88"/>
      <c r="I12" s="88"/>
      <c r="J12" s="88"/>
      <c r="K12" s="88"/>
    </row>
    <row r="13" spans="1:11" ht="12" customHeight="1">
      <c r="A13" s="88"/>
      <c r="B13" s="88"/>
      <c r="C13" s="88"/>
      <c r="D13" s="88"/>
      <c r="E13" s="88"/>
      <c r="F13" s="88"/>
      <c r="G13" s="88"/>
      <c r="H13" s="88"/>
      <c r="I13" s="88"/>
      <c r="J13" s="88"/>
      <c r="K13" s="88"/>
    </row>
    <row r="14" spans="1:11" ht="12" customHeight="1">
      <c r="A14" s="88"/>
      <c r="B14" s="88"/>
      <c r="C14" s="88"/>
      <c r="D14" s="88"/>
      <c r="E14" s="88"/>
      <c r="F14" s="88"/>
      <c r="G14" s="88"/>
      <c r="H14" s="88"/>
      <c r="I14" s="88"/>
      <c r="J14" s="88"/>
      <c r="K14" s="88"/>
    </row>
  </sheetData>
  <mergeCells count="3">
    <mergeCell ref="A1:K1"/>
    <mergeCell ref="A2:K2"/>
    <mergeCell ref="A3:K14"/>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0"/>
  <sheetViews>
    <sheetView tabSelected="1" topLeftCell="D1" zoomScale="140" zoomScaleNormal="140" workbookViewId="0">
      <pane ySplit="3" topLeftCell="A76" activePane="bottomLeft" state="frozen"/>
      <selection pane="bottomLeft" activeCell="I89" sqref="I89"/>
    </sheetView>
  </sheetViews>
  <sheetFormatPr defaultColWidth="12.5703125" defaultRowHeight="13.9"/>
  <cols>
    <col min="1" max="1" width="31.5703125" style="1" customWidth="1"/>
    <col min="2" max="2" width="38.28515625" style="2" customWidth="1"/>
    <col min="3" max="3" width="13.7109375" style="3" customWidth="1"/>
    <col min="4" max="4" width="14.5703125" style="3" customWidth="1"/>
    <col min="5" max="5" width="14.28515625" style="1" customWidth="1"/>
    <col min="6" max="6" width="21.7109375" style="1" customWidth="1"/>
    <col min="7" max="7" width="34.5703125" style="1" customWidth="1"/>
    <col min="8" max="8" width="5.5703125" bestFit="1" customWidth="1"/>
    <col min="9" max="9" width="15.42578125" style="4" customWidth="1"/>
    <col min="10" max="10" width="5.7109375" customWidth="1"/>
    <col min="11" max="11" width="15.7109375" style="4" customWidth="1"/>
    <col min="12" max="12" width="5.5703125" bestFit="1" customWidth="1"/>
    <col min="13" max="13" width="16" style="4" customWidth="1"/>
    <col min="14" max="14" width="16.28515625" customWidth="1"/>
    <col min="16" max="17" width="40.7109375" hidden="1" customWidth="1"/>
    <col min="18" max="20" width="12.5703125" hidden="1"/>
  </cols>
  <sheetData>
    <row r="1" spans="1:20" s="11" customFormat="1" ht="15.75" customHeight="1">
      <c r="A1" s="5"/>
      <c r="B1" s="6"/>
      <c r="C1" s="7"/>
      <c r="D1" s="7"/>
      <c r="E1" s="8"/>
      <c r="F1" s="8"/>
      <c r="G1" s="8"/>
      <c r="H1" s="9"/>
      <c r="I1" s="10"/>
      <c r="K1" s="12"/>
      <c r="M1" s="12"/>
    </row>
    <row r="2" spans="1:20" s="15" customFormat="1" ht="27.75" customHeight="1">
      <c r="A2" s="97" t="s">
        <v>3</v>
      </c>
      <c r="B2" s="93" t="s">
        <v>4</v>
      </c>
      <c r="C2" s="93" t="s">
        <v>5</v>
      </c>
      <c r="D2" s="93" t="s">
        <v>6</v>
      </c>
      <c r="E2" s="93" t="s">
        <v>7</v>
      </c>
      <c r="F2" s="93" t="s">
        <v>8</v>
      </c>
      <c r="G2" s="93" t="s">
        <v>9</v>
      </c>
      <c r="H2" s="94" t="s">
        <v>10</v>
      </c>
      <c r="I2" s="94"/>
      <c r="J2" s="95" t="s">
        <v>11</v>
      </c>
      <c r="K2" s="95"/>
      <c r="L2" s="96" t="s">
        <v>12</v>
      </c>
      <c r="M2" s="96"/>
      <c r="N2" s="89" t="s">
        <v>13</v>
      </c>
      <c r="O2" s="13"/>
      <c r="P2" s="14" t="s">
        <v>14</v>
      </c>
      <c r="Q2" s="14" t="s">
        <v>15</v>
      </c>
      <c r="R2" s="14" t="s">
        <v>6</v>
      </c>
      <c r="S2" s="14" t="s">
        <v>16</v>
      </c>
      <c r="T2" s="14" t="s">
        <v>17</v>
      </c>
    </row>
    <row r="3" spans="1:20" s="15" customFormat="1" ht="14.45">
      <c r="A3" s="97"/>
      <c r="B3" s="93"/>
      <c r="C3" s="93"/>
      <c r="D3" s="93"/>
      <c r="E3" s="93"/>
      <c r="F3" s="93"/>
      <c r="G3" s="93"/>
      <c r="H3" s="82" t="s">
        <v>18</v>
      </c>
      <c r="I3" s="16" t="s">
        <v>19</v>
      </c>
      <c r="J3" s="83" t="s">
        <v>18</v>
      </c>
      <c r="K3" s="17" t="s">
        <v>20</v>
      </c>
      <c r="L3" s="84" t="s">
        <v>18</v>
      </c>
      <c r="M3" s="18" t="s">
        <v>20</v>
      </c>
      <c r="N3" s="89"/>
      <c r="O3" s="13"/>
      <c r="P3" s="13"/>
      <c r="Q3" s="13"/>
      <c r="R3" s="13"/>
      <c r="S3" s="13"/>
      <c r="T3" s="13"/>
    </row>
    <row r="4" spans="1:20" ht="3" customHeight="1">
      <c r="A4" s="19"/>
      <c r="B4" s="20"/>
      <c r="C4" s="21"/>
      <c r="D4" s="21"/>
      <c r="E4" s="22"/>
      <c r="F4" s="22"/>
      <c r="G4" s="22"/>
      <c r="H4" s="23"/>
      <c r="I4" s="24"/>
      <c r="J4" s="23"/>
      <c r="K4" s="24"/>
      <c r="L4" s="23"/>
      <c r="M4" s="24"/>
      <c r="N4" s="25"/>
      <c r="O4" s="25"/>
      <c r="P4" s="25"/>
      <c r="Q4" s="25"/>
      <c r="R4" s="25"/>
      <c r="S4" s="25"/>
      <c r="T4" s="25"/>
    </row>
    <row r="5" spans="1:20" ht="40.9">
      <c r="A5" s="90" t="s">
        <v>21</v>
      </c>
      <c r="B5" s="91" t="s">
        <v>22</v>
      </c>
      <c r="C5" s="72" t="str">
        <f t="shared" ref="C5:D10" si="0">Q5</f>
        <v xml:space="preserve">Guidance, Counseling and Testing </v>
      </c>
      <c r="D5" s="72" t="str">
        <f t="shared" si="0"/>
        <v>01-Professional Salaries</v>
      </c>
      <c r="E5" s="57" t="s">
        <v>23</v>
      </c>
      <c r="F5" s="57" t="s">
        <v>24</v>
      </c>
      <c r="G5" s="58" t="s">
        <v>25</v>
      </c>
      <c r="H5" s="26">
        <v>59</v>
      </c>
      <c r="I5" s="74">
        <v>4248863</v>
      </c>
      <c r="J5" s="27">
        <v>59</v>
      </c>
      <c r="K5" s="74">
        <v>4248863</v>
      </c>
      <c r="L5" s="27">
        <v>59</v>
      </c>
      <c r="M5" s="74">
        <v>4248863</v>
      </c>
      <c r="P5" t="str">
        <f t="shared" ref="P5:P36" si="1">_xlfn.CONCAT(F5,"-",E5)</f>
        <v>Guidance and Psychological-Salaries - Other</v>
      </c>
      <c r="Q5" t="str">
        <f>IFERROR(VLOOKUP($P5,'Short Crosswalk'!$A$1:$G$29,4,0),"")</f>
        <v xml:space="preserve">Guidance, Counseling and Testing </v>
      </c>
      <c r="R5" t="str">
        <f>IFERROR(VLOOKUP($P5,'Short Crosswalk'!$A$1:$G$29,7,0),"")</f>
        <v>01-Professional Salaries</v>
      </c>
      <c r="S5" t="str">
        <f t="shared" ref="S5:S36" si="2">_xlfn.CONCAT(Q5," ", R5)</f>
        <v>Guidance, Counseling and Testing  01-Professional Salaries</v>
      </c>
      <c r="T5">
        <f t="shared" ref="T5:T36" si="3">IFERROR(VALUE(LEFT(D5,2)),"")</f>
        <v>1</v>
      </c>
    </row>
    <row r="6" spans="1:20" ht="30.6">
      <c r="A6" s="90"/>
      <c r="B6" s="91"/>
      <c r="C6" s="72" t="str">
        <f t="shared" si="0"/>
        <v xml:space="preserve">Guidance, Counseling and Testing </v>
      </c>
      <c r="D6" s="72" t="str">
        <f t="shared" si="0"/>
        <v>04-Contracted Services</v>
      </c>
      <c r="E6" s="57" t="s">
        <v>26</v>
      </c>
      <c r="F6" s="57" t="s">
        <v>24</v>
      </c>
      <c r="G6" s="58" t="s">
        <v>27</v>
      </c>
      <c r="H6" s="28"/>
      <c r="I6" s="74">
        <v>1338234</v>
      </c>
      <c r="J6" s="28"/>
      <c r="K6" s="74">
        <f>I6*1.05</f>
        <v>1405145.7</v>
      </c>
      <c r="L6" s="28"/>
      <c r="M6" s="74">
        <f>K6*1.05</f>
        <v>1475402.9850000001</v>
      </c>
      <c r="N6" t="s">
        <v>28</v>
      </c>
      <c r="P6" t="str">
        <f t="shared" si="1"/>
        <v>Guidance and Psychological-Contractual Services</v>
      </c>
      <c r="Q6" t="str">
        <f>IFERROR(VLOOKUP($P6,'Short Crosswalk'!$A$1:$G$29,4,0),"")</f>
        <v xml:space="preserve">Guidance, Counseling and Testing </v>
      </c>
      <c r="R6" t="str">
        <f>IFERROR(VLOOKUP($P6,'Short Crosswalk'!$A$1:$G$29,7,0),"")</f>
        <v>04-Contracted Services</v>
      </c>
      <c r="S6" t="str">
        <f t="shared" si="2"/>
        <v>Guidance, Counseling and Testing  04-Contracted Services</v>
      </c>
      <c r="T6">
        <f t="shared" si="3"/>
        <v>4</v>
      </c>
    </row>
    <row r="7" spans="1:20" ht="40.9">
      <c r="A7" s="90"/>
      <c r="B7" s="91"/>
      <c r="C7" s="72" t="str">
        <f t="shared" si="0"/>
        <v xml:space="preserve">Instructional Materials, Equipment and Technology </v>
      </c>
      <c r="D7" s="72" t="str">
        <f t="shared" si="0"/>
        <v>05-Supplies and Materials</v>
      </c>
      <c r="E7" s="57" t="s">
        <v>29</v>
      </c>
      <c r="F7" s="57" t="s">
        <v>30</v>
      </c>
      <c r="G7" s="58" t="s">
        <v>31</v>
      </c>
      <c r="H7" s="28"/>
      <c r="I7" s="74">
        <f>27214</f>
        <v>27214</v>
      </c>
      <c r="J7" s="28"/>
      <c r="K7" s="74">
        <f>I7*1.05</f>
        <v>28574.7</v>
      </c>
      <c r="L7" s="28"/>
      <c r="M7" s="74">
        <f>K7*1.05</f>
        <v>30003.435000000001</v>
      </c>
      <c r="N7" t="s">
        <v>28</v>
      </c>
      <c r="P7" t="str">
        <f t="shared" si="1"/>
        <v>Instructional Materials, Equip., and Tech.-Supplies and Materials</v>
      </c>
      <c r="Q7" t="str">
        <f>IFERROR(VLOOKUP($P7,'Short Crosswalk'!$A$1:$G$29,4,0),"")</f>
        <v xml:space="preserve">Instructional Materials, Equipment and Technology </v>
      </c>
      <c r="R7" t="str">
        <f>IFERROR(VLOOKUP($P7,'Short Crosswalk'!$A$1:$G$29,7,0),"")</f>
        <v>05-Supplies and Materials</v>
      </c>
      <c r="S7" t="str">
        <f t="shared" si="2"/>
        <v>Instructional Materials, Equipment and Technology  05-Supplies and Materials</v>
      </c>
      <c r="T7">
        <f t="shared" si="3"/>
        <v>5</v>
      </c>
    </row>
    <row r="8" spans="1:20" ht="20.45">
      <c r="A8" s="90"/>
      <c r="B8" s="91"/>
      <c r="C8" s="72" t="str">
        <f t="shared" si="0"/>
        <v>Professional Development</v>
      </c>
      <c r="D8" s="72" t="str">
        <f t="shared" si="0"/>
        <v>04-Contracted Services</v>
      </c>
      <c r="E8" s="57" t="s">
        <v>26</v>
      </c>
      <c r="F8" s="57" t="s">
        <v>32</v>
      </c>
      <c r="G8" s="58" t="s">
        <v>33</v>
      </c>
      <c r="H8" s="28"/>
      <c r="I8" s="74">
        <v>7500</v>
      </c>
      <c r="J8" s="28"/>
      <c r="K8" s="74">
        <f>I8*1.05</f>
        <v>7875</v>
      </c>
      <c r="L8" s="28"/>
      <c r="M8" s="74">
        <f>K8*1.05</f>
        <v>8268.75</v>
      </c>
      <c r="N8" t="s">
        <v>28</v>
      </c>
      <c r="P8" t="str">
        <f t="shared" si="1"/>
        <v>Professional Development-Contractual Services</v>
      </c>
      <c r="Q8" t="str">
        <f>IFERROR(VLOOKUP($P8,'Short Crosswalk'!$A$1:$G$29,4,0),"")</f>
        <v>Professional Development</v>
      </c>
      <c r="R8" t="str">
        <f>IFERROR(VLOOKUP($P8,'Short Crosswalk'!$A$1:$G$29,7,0),"")</f>
        <v>04-Contracted Services</v>
      </c>
      <c r="S8" t="str">
        <f t="shared" si="2"/>
        <v>Professional Development 04-Contracted Services</v>
      </c>
      <c r="T8">
        <f t="shared" si="3"/>
        <v>4</v>
      </c>
    </row>
    <row r="9" spans="1:20" ht="20.45">
      <c r="A9" s="90"/>
      <c r="B9" s="91"/>
      <c r="C9" s="72" t="str">
        <f t="shared" si="0"/>
        <v xml:space="preserve">Operations and Maintenance </v>
      </c>
      <c r="D9" s="72" t="str">
        <f t="shared" si="0"/>
        <v>05-Supplies and Materials</v>
      </c>
      <c r="E9" s="57" t="s">
        <v>29</v>
      </c>
      <c r="F9" s="57" t="s">
        <v>34</v>
      </c>
      <c r="G9" s="59" t="s">
        <v>35</v>
      </c>
      <c r="H9" s="28"/>
      <c r="I9" s="74">
        <v>0</v>
      </c>
      <c r="J9" s="28"/>
      <c r="K9" s="74">
        <v>0</v>
      </c>
      <c r="L9" s="28"/>
      <c r="M9" s="74">
        <v>0</v>
      </c>
      <c r="P9" t="str">
        <f t="shared" si="1"/>
        <v>Operations and Maintenance-Supplies and Materials</v>
      </c>
      <c r="Q9" t="str">
        <f>IFERROR(VLOOKUP($P9,'Short Crosswalk'!$A$1:$G$29,4,0),"")</f>
        <v xml:space="preserve">Operations and Maintenance </v>
      </c>
      <c r="R9" t="str">
        <f>IFERROR(VLOOKUP($P9,'Short Crosswalk'!$A$1:$G$29,7,0),"")</f>
        <v>05-Supplies and Materials</v>
      </c>
      <c r="S9" t="str">
        <f t="shared" si="2"/>
        <v>Operations and Maintenance  05-Supplies and Materials</v>
      </c>
      <c r="T9">
        <f t="shared" si="3"/>
        <v>5</v>
      </c>
    </row>
    <row r="10" spans="1:20" ht="20.45">
      <c r="A10" s="90"/>
      <c r="B10" s="91"/>
      <c r="C10" s="72" t="str">
        <f t="shared" si="0"/>
        <v xml:space="preserve">Benefits and Fixed Charges </v>
      </c>
      <c r="D10" s="72" t="str">
        <f t="shared" si="0"/>
        <v>04-Contracted Services</v>
      </c>
      <c r="E10" s="57" t="s">
        <v>26</v>
      </c>
      <c r="F10" s="57" t="s">
        <v>36</v>
      </c>
      <c r="G10" s="59" t="s">
        <v>37</v>
      </c>
      <c r="H10" s="28"/>
      <c r="I10" s="75">
        <v>1059341</v>
      </c>
      <c r="J10" s="28"/>
      <c r="K10" s="75">
        <f>I10*1.05</f>
        <v>1112308.05</v>
      </c>
      <c r="L10" s="28"/>
      <c r="M10" s="75">
        <f>K10*1.05</f>
        <v>1167923.4525000001</v>
      </c>
      <c r="N10" t="s">
        <v>28</v>
      </c>
      <c r="P10" t="str">
        <f t="shared" si="1"/>
        <v>Benefits and Fixed Charges -Contractual Services</v>
      </c>
      <c r="Q10" t="str">
        <f>IFERROR(VLOOKUP($P10,'Short Crosswalk'!$A$1:$G$29,4,0),"")</f>
        <v xml:space="preserve">Benefits and Fixed Charges </v>
      </c>
      <c r="R10" t="str">
        <f>IFERROR(VLOOKUP($P10,'Short Crosswalk'!$A$1:$G$29,7,0),"")</f>
        <v>04-Contracted Services</v>
      </c>
      <c r="S10" t="str">
        <f t="shared" si="2"/>
        <v>Benefits and Fixed Charges  04-Contracted Services</v>
      </c>
      <c r="T10">
        <f t="shared" si="3"/>
        <v>4</v>
      </c>
    </row>
    <row r="11" spans="1:20" ht="13.5" customHeight="1">
      <c r="A11" s="60"/>
      <c r="B11" s="61"/>
      <c r="C11" s="73"/>
      <c r="D11" s="73"/>
      <c r="E11" s="62"/>
      <c r="F11" s="62"/>
      <c r="G11" s="63" t="s">
        <v>38</v>
      </c>
      <c r="H11" s="29">
        <f>H5</f>
        <v>59</v>
      </c>
      <c r="I11" s="76">
        <f>SUM(I5:I10)</f>
        <v>6681152</v>
      </c>
      <c r="J11" s="29">
        <f>J5</f>
        <v>59</v>
      </c>
      <c r="K11" s="76">
        <f>SUM(K5:K10)</f>
        <v>6802766.4500000002</v>
      </c>
      <c r="L11" s="29">
        <f>L5</f>
        <v>59</v>
      </c>
      <c r="M11" s="76">
        <f>SUM(M5:M10)</f>
        <v>6930461.6225000005</v>
      </c>
      <c r="N11" s="80">
        <f>SUM(I11+K11+M11)</f>
        <v>20414380.072499998</v>
      </c>
      <c r="P11" t="str">
        <f t="shared" si="1"/>
        <v>-</v>
      </c>
      <c r="Q11" t="str">
        <f>IFERROR(VLOOKUP($P11,'Short Crosswalk'!$A$1:$G$29,4,0),"")</f>
        <v/>
      </c>
      <c r="R11" t="str">
        <f>IFERROR(VLOOKUP($P11,'Short Crosswalk'!$A$1:$G$29,7,0),"")</f>
        <v/>
      </c>
      <c r="S11" t="str">
        <f t="shared" si="2"/>
        <v xml:space="preserve"> </v>
      </c>
      <c r="T11" t="str">
        <f t="shared" si="3"/>
        <v/>
      </c>
    </row>
    <row r="12" spans="1:20" ht="20.45">
      <c r="A12" s="92" t="s">
        <v>39</v>
      </c>
      <c r="B12" s="91" t="s">
        <v>40</v>
      </c>
      <c r="C12" s="72" t="str">
        <f t="shared" ref="C12:D16" si="4">Q12</f>
        <v>Instruction</v>
      </c>
      <c r="D12" s="72" t="str">
        <f t="shared" si="4"/>
        <v>01-Professional Salaries</v>
      </c>
      <c r="E12" s="57" t="s">
        <v>41</v>
      </c>
      <c r="F12" s="57" t="s">
        <v>42</v>
      </c>
      <c r="G12" s="59" t="s">
        <v>43</v>
      </c>
      <c r="H12" s="27">
        <v>4</v>
      </c>
      <c r="I12" s="74">
        <v>331907</v>
      </c>
      <c r="J12" s="27">
        <v>4</v>
      </c>
      <c r="K12" s="74">
        <v>331907</v>
      </c>
      <c r="L12" s="27">
        <v>4</v>
      </c>
      <c r="M12" s="74">
        <v>331907</v>
      </c>
      <c r="P12" t="str">
        <f t="shared" si="1"/>
        <v>Instruction Leadership-Salaries - Instructional</v>
      </c>
      <c r="Q12" t="str">
        <f>IFERROR(VLOOKUP($P12,'Short Crosswalk'!$A$1:$G$29,4,0),"")</f>
        <v>Instruction</v>
      </c>
      <c r="R12" t="str">
        <f>IFERROR(VLOOKUP($P12,'Short Crosswalk'!$A$1:$G$29,7,0),"")</f>
        <v>01-Professional Salaries</v>
      </c>
      <c r="S12" t="str">
        <f t="shared" si="2"/>
        <v>Instruction 01-Professional Salaries</v>
      </c>
      <c r="T12">
        <f t="shared" si="3"/>
        <v>1</v>
      </c>
    </row>
    <row r="13" spans="1:20" ht="30.6">
      <c r="A13" s="92"/>
      <c r="B13" s="91"/>
      <c r="C13" s="72" t="str">
        <f t="shared" si="4"/>
        <v>Teachers</v>
      </c>
      <c r="D13" s="72" t="str">
        <f t="shared" si="4"/>
        <v>01-Professional Salaries</v>
      </c>
      <c r="E13" s="57" t="s">
        <v>41</v>
      </c>
      <c r="F13" s="57" t="s">
        <v>44</v>
      </c>
      <c r="G13" s="59" t="s">
        <v>45</v>
      </c>
      <c r="H13" s="27">
        <v>90</v>
      </c>
      <c r="I13" s="74">
        <v>3977140</v>
      </c>
      <c r="J13" s="27">
        <v>90</v>
      </c>
      <c r="K13" s="74">
        <v>3977140</v>
      </c>
      <c r="L13" s="27">
        <v>90</v>
      </c>
      <c r="M13" s="74">
        <v>3977140</v>
      </c>
      <c r="P13" t="str">
        <f t="shared" si="1"/>
        <v>Classroom &amp; Specialist Teachers-Salaries - Instructional</v>
      </c>
      <c r="Q13" t="str">
        <f>IFERROR(VLOOKUP($P13,'Short Crosswalk'!$A$1:$G$29,4,0),"")</f>
        <v>Teachers</v>
      </c>
      <c r="R13" t="str">
        <f>IFERROR(VLOOKUP($P13,'Short Crosswalk'!$A$1:$G$29,7,0),"")</f>
        <v>01-Professional Salaries</v>
      </c>
      <c r="S13" t="str">
        <f t="shared" si="2"/>
        <v>Teachers 01-Professional Salaries</v>
      </c>
      <c r="T13">
        <f t="shared" si="3"/>
        <v>1</v>
      </c>
    </row>
    <row r="14" spans="1:20" ht="40.9">
      <c r="A14" s="92"/>
      <c r="B14" s="91"/>
      <c r="C14" s="72" t="str">
        <f t="shared" si="4"/>
        <v xml:space="preserve">Instructional Materials, Equipment and Technology </v>
      </c>
      <c r="D14" s="72" t="str">
        <f t="shared" si="4"/>
        <v>05-Supplies and Materials</v>
      </c>
      <c r="E14" s="57" t="s">
        <v>29</v>
      </c>
      <c r="F14" s="57" t="s">
        <v>30</v>
      </c>
      <c r="G14" s="59" t="s">
        <v>46</v>
      </c>
      <c r="H14" s="28"/>
      <c r="I14" s="74">
        <v>10000</v>
      </c>
      <c r="J14" s="28"/>
      <c r="K14" s="74">
        <f>I14*1.05</f>
        <v>10500</v>
      </c>
      <c r="L14" s="28"/>
      <c r="M14" s="74">
        <f>K14*1.05</f>
        <v>11025</v>
      </c>
      <c r="N14" t="s">
        <v>28</v>
      </c>
      <c r="P14" t="str">
        <f t="shared" si="1"/>
        <v>Instructional Materials, Equip., and Tech.-Supplies and Materials</v>
      </c>
      <c r="Q14" t="str">
        <f>IFERROR(VLOOKUP($P14,'Short Crosswalk'!$A$1:$G$29,4,0),"")</f>
        <v xml:space="preserve">Instructional Materials, Equipment and Technology </v>
      </c>
      <c r="R14" t="str">
        <f>IFERROR(VLOOKUP($P14,'Short Crosswalk'!$A$1:$G$29,7,0),"")</f>
        <v>05-Supplies and Materials</v>
      </c>
      <c r="S14" t="str">
        <f t="shared" si="2"/>
        <v>Instructional Materials, Equipment and Technology  05-Supplies and Materials</v>
      </c>
      <c r="T14">
        <f t="shared" si="3"/>
        <v>5</v>
      </c>
    </row>
    <row r="15" spans="1:20" ht="20.45">
      <c r="A15" s="92"/>
      <c r="B15" s="91"/>
      <c r="C15" s="72" t="str">
        <f t="shared" si="4"/>
        <v>Professional Development</v>
      </c>
      <c r="D15" s="72" t="str">
        <f t="shared" si="4"/>
        <v>04-Contracted Services</v>
      </c>
      <c r="E15" s="57" t="s">
        <v>26</v>
      </c>
      <c r="F15" s="57" t="s">
        <v>32</v>
      </c>
      <c r="G15" s="59" t="s">
        <v>47</v>
      </c>
      <c r="H15" s="28"/>
      <c r="I15" s="74">
        <v>0</v>
      </c>
      <c r="J15" s="28"/>
      <c r="K15" s="74">
        <v>0</v>
      </c>
      <c r="L15" s="28"/>
      <c r="M15" s="74">
        <v>0</v>
      </c>
      <c r="P15" t="str">
        <f t="shared" si="1"/>
        <v>Professional Development-Contractual Services</v>
      </c>
      <c r="Q15" t="str">
        <f>IFERROR(VLOOKUP($P15,'Short Crosswalk'!$A$1:$G$29,4,0),"")</f>
        <v>Professional Development</v>
      </c>
      <c r="R15" t="str">
        <f>IFERROR(VLOOKUP($P15,'Short Crosswalk'!$A$1:$G$29,7,0),"")</f>
        <v>04-Contracted Services</v>
      </c>
      <c r="S15" t="str">
        <f t="shared" si="2"/>
        <v>Professional Development 04-Contracted Services</v>
      </c>
      <c r="T15">
        <f t="shared" si="3"/>
        <v>4</v>
      </c>
    </row>
    <row r="16" spans="1:20" ht="20.45">
      <c r="A16" s="92"/>
      <c r="B16" s="91"/>
      <c r="C16" s="72" t="str">
        <f t="shared" si="4"/>
        <v xml:space="preserve">Benefits and Fixed Charges </v>
      </c>
      <c r="D16" s="72" t="str">
        <f t="shared" si="4"/>
        <v>04-Contracted Services</v>
      </c>
      <c r="E16" s="57" t="s">
        <v>26</v>
      </c>
      <c r="F16" s="57" t="s">
        <v>36</v>
      </c>
      <c r="G16" s="59" t="s">
        <v>37</v>
      </c>
      <c r="H16" s="28"/>
      <c r="I16" s="75">
        <v>1077262</v>
      </c>
      <c r="J16" s="28"/>
      <c r="K16" s="74">
        <f>I16*1.05</f>
        <v>1131125.1000000001</v>
      </c>
      <c r="L16" s="28"/>
      <c r="M16" s="74">
        <f>K16*1.05</f>
        <v>1187681.3550000002</v>
      </c>
      <c r="N16" t="s">
        <v>28</v>
      </c>
      <c r="P16" t="str">
        <f t="shared" si="1"/>
        <v>Benefits and Fixed Charges -Contractual Services</v>
      </c>
      <c r="Q16" t="str">
        <f>IFERROR(VLOOKUP($P16,'Short Crosswalk'!$A$1:$G$29,4,0),"")</f>
        <v xml:space="preserve">Benefits and Fixed Charges </v>
      </c>
      <c r="R16" t="str">
        <f>IFERROR(VLOOKUP($P16,'Short Crosswalk'!$A$1:$G$29,7,0),"")</f>
        <v>04-Contracted Services</v>
      </c>
      <c r="S16" t="str">
        <f t="shared" si="2"/>
        <v>Benefits and Fixed Charges  04-Contracted Services</v>
      </c>
      <c r="T16">
        <f t="shared" si="3"/>
        <v>4</v>
      </c>
    </row>
    <row r="17" spans="1:20" ht="13.5" customHeight="1">
      <c r="A17" s="60"/>
      <c r="B17" s="61"/>
      <c r="C17" s="73"/>
      <c r="D17" s="73"/>
      <c r="E17" s="62"/>
      <c r="F17" s="62"/>
      <c r="G17" s="63" t="s">
        <v>38</v>
      </c>
      <c r="H17" s="29">
        <f>H12+H13</f>
        <v>94</v>
      </c>
      <c r="I17" s="76">
        <f>SUM(I12:I16)</f>
        <v>5396309</v>
      </c>
      <c r="J17" s="29">
        <f>J12+J13</f>
        <v>94</v>
      </c>
      <c r="K17" s="76">
        <f>SUM(K12:K16)</f>
        <v>5450672.0999999996</v>
      </c>
      <c r="L17" s="29">
        <f>L12+L13</f>
        <v>94</v>
      </c>
      <c r="M17" s="76">
        <f>SUM(M12:M16)</f>
        <v>5507753.3550000004</v>
      </c>
      <c r="N17" s="80">
        <f>SUM(I17+K17+M17)</f>
        <v>16354734.455</v>
      </c>
      <c r="P17" t="str">
        <f t="shared" si="1"/>
        <v>-</v>
      </c>
      <c r="Q17" t="str">
        <f>IFERROR(VLOOKUP($P17,'Short Crosswalk'!$A$1:$G$29,4,0),"")</f>
        <v/>
      </c>
      <c r="R17" t="str">
        <f>IFERROR(VLOOKUP($P17,'Short Crosswalk'!$A$1:$G$29,7,0),"")</f>
        <v/>
      </c>
      <c r="S17" t="str">
        <f t="shared" si="2"/>
        <v xml:space="preserve"> </v>
      </c>
      <c r="T17" t="str">
        <f t="shared" si="3"/>
        <v/>
      </c>
    </row>
    <row r="18" spans="1:20" ht="20.45">
      <c r="A18" s="98" t="s">
        <v>48</v>
      </c>
      <c r="B18" s="91" t="s">
        <v>49</v>
      </c>
      <c r="C18" s="72" t="str">
        <f t="shared" ref="C18:D21" si="5">Q18</f>
        <v>Pupil Services</v>
      </c>
      <c r="D18" s="72" t="str">
        <f t="shared" si="5"/>
        <v>03-Other Salaries</v>
      </c>
      <c r="E18" s="57" t="s">
        <v>23</v>
      </c>
      <c r="F18" s="57" t="s">
        <v>50</v>
      </c>
      <c r="G18" s="59" t="s">
        <v>51</v>
      </c>
      <c r="H18" s="27">
        <v>13</v>
      </c>
      <c r="I18" s="74">
        <v>596500</v>
      </c>
      <c r="J18" s="27">
        <v>13</v>
      </c>
      <c r="K18" s="74">
        <v>596500</v>
      </c>
      <c r="L18" s="27">
        <v>13</v>
      </c>
      <c r="M18" s="74">
        <v>596500</v>
      </c>
      <c r="P18" t="str">
        <f t="shared" si="1"/>
        <v>Pupil Services-Salaries - Other</v>
      </c>
      <c r="Q18" t="str">
        <f>IFERROR(VLOOKUP($P18,'Short Crosswalk'!$A$1:$G$29,4,0),"")</f>
        <v>Pupil Services</v>
      </c>
      <c r="R18" t="str">
        <f>IFERROR(VLOOKUP($P18,'Short Crosswalk'!$A$1:$G$29,7,0),"")</f>
        <v>03-Other Salaries</v>
      </c>
      <c r="S18" t="str">
        <f t="shared" si="2"/>
        <v>Pupil Services 03-Other Salaries</v>
      </c>
      <c r="T18">
        <f t="shared" si="3"/>
        <v>3</v>
      </c>
    </row>
    <row r="19" spans="1:20" ht="20.45">
      <c r="A19" s="98"/>
      <c r="B19" s="91"/>
      <c r="C19" s="72" t="str">
        <f t="shared" si="5"/>
        <v>Professional Development</v>
      </c>
      <c r="D19" s="72" t="str">
        <f t="shared" si="5"/>
        <v>04-Contracted Services</v>
      </c>
      <c r="E19" s="57" t="s">
        <v>26</v>
      </c>
      <c r="F19" s="57" t="s">
        <v>32</v>
      </c>
      <c r="G19" s="59" t="s">
        <v>52</v>
      </c>
      <c r="H19" s="28"/>
      <c r="I19" s="74">
        <v>32300</v>
      </c>
      <c r="J19" s="28"/>
      <c r="K19" s="74">
        <f>I19*1.05</f>
        <v>33915</v>
      </c>
      <c r="L19" s="28"/>
      <c r="M19" s="74">
        <f>K19*1.05</f>
        <v>35610.75</v>
      </c>
      <c r="N19" t="s">
        <v>28</v>
      </c>
      <c r="P19" t="str">
        <f t="shared" si="1"/>
        <v>Professional Development-Contractual Services</v>
      </c>
      <c r="Q19" t="str">
        <f>IFERROR(VLOOKUP($P19,'Short Crosswalk'!$A$1:$G$29,4,0),"")</f>
        <v>Professional Development</v>
      </c>
      <c r="R19" t="str">
        <f>IFERROR(VLOOKUP($P19,'Short Crosswalk'!$A$1:$G$29,7,0),"")</f>
        <v>04-Contracted Services</v>
      </c>
      <c r="S19" t="str">
        <f t="shared" si="2"/>
        <v>Professional Development 04-Contracted Services</v>
      </c>
      <c r="T19">
        <f t="shared" si="3"/>
        <v>4</v>
      </c>
    </row>
    <row r="20" spans="1:20" ht="40.9">
      <c r="A20" s="98"/>
      <c r="B20" s="91"/>
      <c r="C20" s="72" t="str">
        <f t="shared" si="5"/>
        <v>Teachers</v>
      </c>
      <c r="D20" s="72" t="str">
        <f t="shared" si="5"/>
        <v>01-Professional Salaries</v>
      </c>
      <c r="E20" s="57" t="s">
        <v>53</v>
      </c>
      <c r="F20" s="57" t="s">
        <v>44</v>
      </c>
      <c r="G20" s="59" t="s">
        <v>54</v>
      </c>
      <c r="H20" s="28"/>
      <c r="I20" s="74">
        <v>7000</v>
      </c>
      <c r="J20" s="28"/>
      <c r="K20" s="74">
        <v>7000</v>
      </c>
      <c r="L20" s="28"/>
      <c r="M20" s="74">
        <v>7000</v>
      </c>
      <c r="P20" t="str">
        <f t="shared" si="1"/>
        <v>Classroom &amp; Specialist Teachers-Stipends</v>
      </c>
      <c r="Q20" t="str">
        <f>IFERROR(VLOOKUP($P20,'Short Crosswalk'!$A$1:$G$29,4,0),"")</f>
        <v>Teachers</v>
      </c>
      <c r="R20" t="str">
        <f>IFERROR(VLOOKUP($P20,'Short Crosswalk'!$A$1:$G$29,7,0),"")</f>
        <v>01-Professional Salaries</v>
      </c>
      <c r="S20" t="str">
        <f t="shared" si="2"/>
        <v>Teachers 01-Professional Salaries</v>
      </c>
      <c r="T20">
        <f t="shared" si="3"/>
        <v>1</v>
      </c>
    </row>
    <row r="21" spans="1:20" ht="20.45">
      <c r="A21" s="98"/>
      <c r="B21" s="91"/>
      <c r="C21" s="72" t="str">
        <f t="shared" si="5"/>
        <v xml:space="preserve">Benefits and Fixed Charges </v>
      </c>
      <c r="D21" s="72" t="str">
        <f t="shared" si="5"/>
        <v>04-Contracted Services</v>
      </c>
      <c r="E21" s="57" t="s">
        <v>26</v>
      </c>
      <c r="F21" s="57" t="s">
        <v>36</v>
      </c>
      <c r="G21" s="59" t="s">
        <v>37</v>
      </c>
      <c r="H21" s="28"/>
      <c r="I21" s="75">
        <v>149125</v>
      </c>
      <c r="J21" s="28"/>
      <c r="K21" s="74">
        <f>I21*1.05</f>
        <v>156581.25</v>
      </c>
      <c r="L21" s="28"/>
      <c r="M21" s="74">
        <f>K21*1.05</f>
        <v>164410.3125</v>
      </c>
      <c r="N21" t="s">
        <v>28</v>
      </c>
      <c r="P21" t="str">
        <f t="shared" si="1"/>
        <v>Benefits and Fixed Charges -Contractual Services</v>
      </c>
      <c r="Q21" t="str">
        <f>IFERROR(VLOOKUP($P21,'Short Crosswalk'!$A$1:$G$29,4,0),"")</f>
        <v xml:space="preserve">Benefits and Fixed Charges </v>
      </c>
      <c r="R21" t="str">
        <f>IFERROR(VLOOKUP($P21,'Short Crosswalk'!$A$1:$G$29,7,0),"")</f>
        <v>04-Contracted Services</v>
      </c>
      <c r="S21" t="str">
        <f t="shared" si="2"/>
        <v>Benefits and Fixed Charges  04-Contracted Services</v>
      </c>
      <c r="T21">
        <f t="shared" si="3"/>
        <v>4</v>
      </c>
    </row>
    <row r="22" spans="1:20" ht="13.5" customHeight="1">
      <c r="A22" s="60"/>
      <c r="B22" s="61"/>
      <c r="C22" s="73"/>
      <c r="D22" s="73"/>
      <c r="E22" s="62"/>
      <c r="F22" s="62"/>
      <c r="G22" s="63" t="s">
        <v>38</v>
      </c>
      <c r="H22" s="29">
        <f>H18</f>
        <v>13</v>
      </c>
      <c r="I22" s="76">
        <f>SUM(I18:I21)</f>
        <v>784925</v>
      </c>
      <c r="J22" s="29">
        <f>J18</f>
        <v>13</v>
      </c>
      <c r="K22" s="76">
        <f>SUM(K18:K21)</f>
        <v>793996.25</v>
      </c>
      <c r="L22" s="29">
        <f>L18</f>
        <v>13</v>
      </c>
      <c r="M22" s="76">
        <f>SUM(M18:M21)</f>
        <v>803521.0625</v>
      </c>
      <c r="N22" s="80">
        <f>SUM(I22+K22+M22)</f>
        <v>2382442.3125</v>
      </c>
      <c r="P22" t="str">
        <f t="shared" si="1"/>
        <v>-</v>
      </c>
      <c r="Q22" t="str">
        <f>IFERROR(VLOOKUP($P22,'Short Crosswalk'!$A$1:$G$29,4,0),"")</f>
        <v/>
      </c>
      <c r="R22" t="str">
        <f>IFERROR(VLOOKUP($P22,'Short Crosswalk'!$A$1:$G$29,7,0),"")</f>
        <v/>
      </c>
      <c r="S22" t="str">
        <f t="shared" si="2"/>
        <v xml:space="preserve"> </v>
      </c>
      <c r="T22" t="str">
        <f t="shared" si="3"/>
        <v/>
      </c>
    </row>
    <row r="23" spans="1:20" ht="30.6">
      <c r="A23" s="99" t="s">
        <v>55</v>
      </c>
      <c r="B23" s="91" t="s">
        <v>56</v>
      </c>
      <c r="C23" s="72" t="str">
        <f t="shared" ref="C23:D27" si="6">Q23</f>
        <v>Instruction</v>
      </c>
      <c r="D23" s="72" t="str">
        <f t="shared" si="6"/>
        <v>01-Professional Salaries</v>
      </c>
      <c r="E23" s="57" t="s">
        <v>41</v>
      </c>
      <c r="F23" s="57" t="s">
        <v>42</v>
      </c>
      <c r="G23" s="59" t="s">
        <v>57</v>
      </c>
      <c r="H23" s="27">
        <v>39</v>
      </c>
      <c r="I23" s="74">
        <v>3528099</v>
      </c>
      <c r="J23" s="27">
        <v>39</v>
      </c>
      <c r="K23" s="74">
        <v>3528099</v>
      </c>
      <c r="L23" s="27">
        <v>39</v>
      </c>
      <c r="M23" s="74">
        <v>3528099</v>
      </c>
      <c r="P23" t="str">
        <f t="shared" si="1"/>
        <v>Instruction Leadership-Salaries - Instructional</v>
      </c>
      <c r="Q23" t="str">
        <f>IFERROR(VLOOKUP($P23,'Short Crosswalk'!$A$1:$G$29,4,0),"")</f>
        <v>Instruction</v>
      </c>
      <c r="R23" t="str">
        <f>IFERROR(VLOOKUP($P23,'Short Crosswalk'!$A$1:$G$29,7,0),"")</f>
        <v>01-Professional Salaries</v>
      </c>
      <c r="S23" t="str">
        <f t="shared" si="2"/>
        <v>Instruction 01-Professional Salaries</v>
      </c>
      <c r="T23">
        <f t="shared" si="3"/>
        <v>1</v>
      </c>
    </row>
    <row r="24" spans="1:20" ht="30.6">
      <c r="A24" s="99"/>
      <c r="B24" s="91"/>
      <c r="C24" s="72" t="str">
        <f t="shared" si="6"/>
        <v>Teachers</v>
      </c>
      <c r="D24" s="72" t="str">
        <f t="shared" si="6"/>
        <v>01-Professional Salaries</v>
      </c>
      <c r="E24" s="57" t="s">
        <v>53</v>
      </c>
      <c r="F24" s="57" t="s">
        <v>44</v>
      </c>
      <c r="G24" s="59" t="s">
        <v>58</v>
      </c>
      <c r="H24" s="28"/>
      <c r="I24" s="74">
        <v>47749</v>
      </c>
      <c r="J24" s="28"/>
      <c r="K24" s="74">
        <v>47749</v>
      </c>
      <c r="L24" s="28"/>
      <c r="M24" s="74">
        <v>47749</v>
      </c>
      <c r="P24" t="str">
        <f t="shared" si="1"/>
        <v>Classroom &amp; Specialist Teachers-Stipends</v>
      </c>
      <c r="Q24" t="str">
        <f>IFERROR(VLOOKUP($P24,'Short Crosswalk'!$A$1:$G$29,4,0),"")</f>
        <v>Teachers</v>
      </c>
      <c r="R24" t="str">
        <f>IFERROR(VLOOKUP($P24,'Short Crosswalk'!$A$1:$G$29,7,0),"")</f>
        <v>01-Professional Salaries</v>
      </c>
      <c r="S24" t="str">
        <f t="shared" si="2"/>
        <v>Teachers 01-Professional Salaries</v>
      </c>
      <c r="T24">
        <f t="shared" si="3"/>
        <v>1</v>
      </c>
    </row>
    <row r="25" spans="1:20" ht="40.9">
      <c r="A25" s="99"/>
      <c r="B25" s="91"/>
      <c r="C25" s="72" t="str">
        <f t="shared" si="6"/>
        <v xml:space="preserve">Instructional Materials, Equipment and Technology </v>
      </c>
      <c r="D25" s="72" t="str">
        <f t="shared" si="6"/>
        <v>05-Supplies and Materials</v>
      </c>
      <c r="E25" s="57" t="s">
        <v>29</v>
      </c>
      <c r="F25" s="57" t="s">
        <v>30</v>
      </c>
      <c r="G25" s="59" t="s">
        <v>59</v>
      </c>
      <c r="H25" s="28"/>
      <c r="I25" s="74">
        <v>430249</v>
      </c>
      <c r="J25" s="28"/>
      <c r="K25" s="74">
        <f>I25*1.05</f>
        <v>451761.45</v>
      </c>
      <c r="L25" s="28"/>
      <c r="M25" s="74">
        <f>K25*1.05</f>
        <v>474349.52250000002</v>
      </c>
      <c r="N25" t="s">
        <v>28</v>
      </c>
      <c r="P25" t="str">
        <f t="shared" si="1"/>
        <v>Instructional Materials, Equip., and Tech.-Supplies and Materials</v>
      </c>
      <c r="Q25" t="str">
        <f>IFERROR(VLOOKUP($P25,'Short Crosswalk'!$A$1:$G$29,4,0),"")</f>
        <v xml:space="preserve">Instructional Materials, Equipment and Technology </v>
      </c>
      <c r="R25" t="str">
        <f>IFERROR(VLOOKUP($P25,'Short Crosswalk'!$A$1:$G$29,7,0),"")</f>
        <v>05-Supplies and Materials</v>
      </c>
      <c r="S25" t="str">
        <f t="shared" si="2"/>
        <v>Instructional Materials, Equipment and Technology  05-Supplies and Materials</v>
      </c>
      <c r="T25">
        <f t="shared" si="3"/>
        <v>5</v>
      </c>
    </row>
    <row r="26" spans="1:20" ht="20.45">
      <c r="A26" s="99"/>
      <c r="B26" s="91"/>
      <c r="C26" s="72" t="str">
        <f t="shared" si="6"/>
        <v>Professional Development</v>
      </c>
      <c r="D26" s="72" t="str">
        <f t="shared" si="6"/>
        <v>04-Contracted Services</v>
      </c>
      <c r="E26" s="57" t="s">
        <v>26</v>
      </c>
      <c r="F26" s="57" t="s">
        <v>32</v>
      </c>
      <c r="G26" s="59" t="s">
        <v>60</v>
      </c>
      <c r="H26" s="28"/>
      <c r="I26" s="74">
        <v>19000</v>
      </c>
      <c r="J26" s="28"/>
      <c r="K26" s="74">
        <f>I26*1.05</f>
        <v>19950</v>
      </c>
      <c r="L26" s="28"/>
      <c r="M26" s="74">
        <f>K26*1.05</f>
        <v>20947.5</v>
      </c>
      <c r="N26" t="s">
        <v>28</v>
      </c>
      <c r="P26" t="str">
        <f t="shared" si="1"/>
        <v>Professional Development-Contractual Services</v>
      </c>
      <c r="Q26" t="str">
        <f>IFERROR(VLOOKUP($P26,'Short Crosswalk'!$A$1:$G$29,4,0),"")</f>
        <v>Professional Development</v>
      </c>
      <c r="R26" t="str">
        <f>IFERROR(VLOOKUP($P26,'Short Crosswalk'!$A$1:$G$29,7,0),"")</f>
        <v>04-Contracted Services</v>
      </c>
      <c r="S26" t="str">
        <f t="shared" si="2"/>
        <v>Professional Development 04-Contracted Services</v>
      </c>
      <c r="T26">
        <f t="shared" si="3"/>
        <v>4</v>
      </c>
    </row>
    <row r="27" spans="1:20" ht="20.45">
      <c r="A27" s="99"/>
      <c r="B27" s="91"/>
      <c r="C27" s="72" t="str">
        <f t="shared" si="6"/>
        <v xml:space="preserve">Benefits and Fixed Charges </v>
      </c>
      <c r="D27" s="72" t="str">
        <f t="shared" si="6"/>
        <v>04-Contracted Services</v>
      </c>
      <c r="E27" s="57" t="s">
        <v>26</v>
      </c>
      <c r="F27" s="57" t="s">
        <v>36</v>
      </c>
      <c r="G27" s="59" t="s">
        <v>37</v>
      </c>
      <c r="H27" s="28"/>
      <c r="I27" s="75">
        <v>882025</v>
      </c>
      <c r="J27" s="28"/>
      <c r="K27" s="74">
        <f>I27*1.05</f>
        <v>926126.25</v>
      </c>
      <c r="L27" s="28"/>
      <c r="M27" s="74">
        <f>K27*1.05</f>
        <v>972432.5625</v>
      </c>
      <c r="N27" t="s">
        <v>28</v>
      </c>
      <c r="P27" t="str">
        <f t="shared" si="1"/>
        <v>Benefits and Fixed Charges -Contractual Services</v>
      </c>
      <c r="Q27" t="str">
        <f>IFERROR(VLOOKUP($P27,'Short Crosswalk'!$A$1:$G$29,4,0),"")</f>
        <v xml:space="preserve">Benefits and Fixed Charges </v>
      </c>
      <c r="R27" t="str">
        <f>IFERROR(VLOOKUP($P27,'Short Crosswalk'!$A$1:$G$29,7,0),"")</f>
        <v>04-Contracted Services</v>
      </c>
      <c r="S27" t="str">
        <f t="shared" si="2"/>
        <v>Benefits and Fixed Charges  04-Contracted Services</v>
      </c>
      <c r="T27">
        <f t="shared" si="3"/>
        <v>4</v>
      </c>
    </row>
    <row r="28" spans="1:20" ht="13.5" customHeight="1">
      <c r="A28" s="99"/>
      <c r="B28" s="61"/>
      <c r="C28" s="73"/>
      <c r="D28" s="73"/>
      <c r="E28" s="62"/>
      <c r="F28" s="62"/>
      <c r="G28" s="63" t="s">
        <v>38</v>
      </c>
      <c r="H28" s="29">
        <f>H23</f>
        <v>39</v>
      </c>
      <c r="I28" s="76">
        <f>SUM(I23:I27)</f>
        <v>4907122</v>
      </c>
      <c r="J28" s="29">
        <f>J23</f>
        <v>39</v>
      </c>
      <c r="K28" s="76">
        <f>SUM(K23:K27)</f>
        <v>4973685.7</v>
      </c>
      <c r="L28" s="29">
        <f>L23</f>
        <v>39</v>
      </c>
      <c r="M28" s="76">
        <f>SUM(M23:M27)</f>
        <v>5043577.585</v>
      </c>
      <c r="N28" s="80">
        <f>SUM(I28+K28+M28)</f>
        <v>14924385.285</v>
      </c>
      <c r="P28" t="str">
        <f t="shared" si="1"/>
        <v>-</v>
      </c>
      <c r="Q28" t="str">
        <f>IFERROR(VLOOKUP($P28,'Short Crosswalk'!$A$1:$G$29,4,0),"")</f>
        <v/>
      </c>
      <c r="R28" t="str">
        <f>IFERROR(VLOOKUP($P28,'Short Crosswalk'!$A$1:$G$29,7,0),"")</f>
        <v/>
      </c>
      <c r="S28" t="str">
        <f t="shared" si="2"/>
        <v xml:space="preserve"> </v>
      </c>
      <c r="T28" t="str">
        <f t="shared" si="3"/>
        <v/>
      </c>
    </row>
    <row r="29" spans="1:20" ht="20.45">
      <c r="A29" s="99"/>
      <c r="B29" s="91" t="s">
        <v>61</v>
      </c>
      <c r="C29" s="72" t="str">
        <f t="shared" ref="C29:D34" si="7">Q29</f>
        <v>Instruction</v>
      </c>
      <c r="D29" s="72" t="str">
        <f t="shared" si="7"/>
        <v>01-Professional Salaries</v>
      </c>
      <c r="E29" s="57" t="s">
        <v>41</v>
      </c>
      <c r="F29" s="57" t="s">
        <v>42</v>
      </c>
      <c r="G29" s="59" t="s">
        <v>62</v>
      </c>
      <c r="H29" s="27">
        <v>9</v>
      </c>
      <c r="I29" s="74">
        <v>834515</v>
      </c>
      <c r="J29" s="27">
        <v>9</v>
      </c>
      <c r="K29" s="74">
        <v>834515</v>
      </c>
      <c r="L29" s="27">
        <v>9</v>
      </c>
      <c r="M29" s="74">
        <v>834515</v>
      </c>
      <c r="P29" t="str">
        <f t="shared" si="1"/>
        <v>Instruction Leadership-Salaries - Instructional</v>
      </c>
      <c r="Q29" t="str">
        <f>IFERROR(VLOOKUP($P29,'Short Crosswalk'!$A$1:$G$29,4,0),"")</f>
        <v>Instruction</v>
      </c>
      <c r="R29" t="str">
        <f>IFERROR(VLOOKUP($P29,'Short Crosswalk'!$A$1:$G$29,7,0),"")</f>
        <v>01-Professional Salaries</v>
      </c>
      <c r="S29" t="str">
        <f t="shared" si="2"/>
        <v>Instruction 01-Professional Salaries</v>
      </c>
      <c r="T29">
        <f t="shared" si="3"/>
        <v>1</v>
      </c>
    </row>
    <row r="30" spans="1:20" ht="20.45">
      <c r="A30" s="99"/>
      <c r="B30" s="91"/>
      <c r="C30" s="72" t="str">
        <f t="shared" si="7"/>
        <v>Teachers</v>
      </c>
      <c r="D30" s="72" t="str">
        <f t="shared" si="7"/>
        <v>01-Professional Salaries</v>
      </c>
      <c r="E30" s="57" t="s">
        <v>41</v>
      </c>
      <c r="F30" s="57" t="s">
        <v>44</v>
      </c>
      <c r="G30" s="59" t="s">
        <v>63</v>
      </c>
      <c r="H30" s="27">
        <v>6</v>
      </c>
      <c r="I30" s="74">
        <v>416400</v>
      </c>
      <c r="J30" s="27">
        <v>6</v>
      </c>
      <c r="K30" s="74">
        <v>416400</v>
      </c>
      <c r="L30" s="27">
        <v>6</v>
      </c>
      <c r="M30" s="74">
        <v>416400</v>
      </c>
      <c r="P30" t="str">
        <f t="shared" si="1"/>
        <v>Classroom &amp; Specialist Teachers-Salaries - Instructional</v>
      </c>
      <c r="Q30" t="str">
        <f>IFERROR(VLOOKUP($P30,'Short Crosswalk'!$A$1:$G$29,4,0),"")</f>
        <v>Teachers</v>
      </c>
      <c r="R30" t="str">
        <f>IFERROR(VLOOKUP($P30,'Short Crosswalk'!$A$1:$G$29,7,0),"")</f>
        <v>01-Professional Salaries</v>
      </c>
      <c r="S30" t="str">
        <f t="shared" si="2"/>
        <v>Teachers 01-Professional Salaries</v>
      </c>
      <c r="T30">
        <f t="shared" si="3"/>
        <v>1</v>
      </c>
    </row>
    <row r="31" spans="1:20" ht="40.9">
      <c r="A31" s="99"/>
      <c r="B31" s="91"/>
      <c r="C31" s="72" t="str">
        <f t="shared" si="7"/>
        <v xml:space="preserve">Instructional Materials, Equipment and Technology </v>
      </c>
      <c r="D31" s="72" t="str">
        <f t="shared" si="7"/>
        <v>05-Supplies and Materials</v>
      </c>
      <c r="E31" s="57" t="s">
        <v>29</v>
      </c>
      <c r="F31" s="57" t="s">
        <v>30</v>
      </c>
      <c r="G31" s="59" t="s">
        <v>64</v>
      </c>
      <c r="H31" s="28"/>
      <c r="I31" s="74">
        <v>355505</v>
      </c>
      <c r="J31" s="28"/>
      <c r="K31" s="74">
        <f>I31*1.05</f>
        <v>373280.25</v>
      </c>
      <c r="L31" s="28"/>
      <c r="M31" s="74">
        <f>K31*1.05</f>
        <v>391944.26250000001</v>
      </c>
      <c r="N31" t="s">
        <v>28</v>
      </c>
      <c r="P31" t="str">
        <f t="shared" si="1"/>
        <v>Instructional Materials, Equip., and Tech.-Supplies and Materials</v>
      </c>
      <c r="Q31" t="str">
        <f>IFERROR(VLOOKUP($P31,'Short Crosswalk'!$A$1:$G$29,4,0),"")</f>
        <v xml:space="preserve">Instructional Materials, Equipment and Technology </v>
      </c>
      <c r="R31" t="str">
        <f>IFERROR(VLOOKUP($P31,'Short Crosswalk'!$A$1:$G$29,7,0),"")</f>
        <v>05-Supplies and Materials</v>
      </c>
      <c r="S31" t="str">
        <f t="shared" si="2"/>
        <v>Instructional Materials, Equipment and Technology  05-Supplies and Materials</v>
      </c>
      <c r="T31">
        <f t="shared" si="3"/>
        <v>5</v>
      </c>
    </row>
    <row r="32" spans="1:20" ht="40.9">
      <c r="A32" s="99"/>
      <c r="B32" s="91"/>
      <c r="C32" s="72" t="str">
        <f t="shared" si="7"/>
        <v xml:space="preserve">Instructional Materials, Equipment and Technology </v>
      </c>
      <c r="D32" s="72" t="str">
        <f t="shared" si="7"/>
        <v>06-Other Expenses</v>
      </c>
      <c r="E32" s="57" t="s">
        <v>26</v>
      </c>
      <c r="F32" s="57" t="s">
        <v>30</v>
      </c>
      <c r="G32" s="59" t="s">
        <v>65</v>
      </c>
      <c r="H32" s="28"/>
      <c r="I32" s="74">
        <v>24225</v>
      </c>
      <c r="J32" s="28"/>
      <c r="K32" s="74">
        <f>I32*1.05</f>
        <v>25436.25</v>
      </c>
      <c r="L32" s="28"/>
      <c r="M32" s="74">
        <f>K32*1.05</f>
        <v>26708.0625</v>
      </c>
      <c r="N32" t="s">
        <v>28</v>
      </c>
      <c r="P32" t="str">
        <f t="shared" si="1"/>
        <v>Instructional Materials, Equip., and Tech.-Contractual Services</v>
      </c>
      <c r="Q32" t="str">
        <f>IFERROR(VLOOKUP($P32,'Short Crosswalk'!$A$1:$G$29,4,0),"")</f>
        <v xml:space="preserve">Instructional Materials, Equipment and Technology </v>
      </c>
      <c r="R32" t="str">
        <f>IFERROR(VLOOKUP($P32,'Short Crosswalk'!$A$1:$G$29,7,0),"")</f>
        <v>06-Other Expenses</v>
      </c>
      <c r="S32" t="str">
        <f t="shared" si="2"/>
        <v>Instructional Materials, Equipment and Technology  06-Other Expenses</v>
      </c>
      <c r="T32">
        <f t="shared" si="3"/>
        <v>6</v>
      </c>
    </row>
    <row r="33" spans="1:20" ht="30.6">
      <c r="A33" s="99"/>
      <c r="B33" s="91"/>
      <c r="C33" s="72" t="str">
        <f t="shared" si="7"/>
        <v>Professional Development</v>
      </c>
      <c r="D33" s="72" t="str">
        <f t="shared" si="7"/>
        <v>04-Contracted Services</v>
      </c>
      <c r="E33" s="57" t="s">
        <v>26</v>
      </c>
      <c r="F33" s="57" t="s">
        <v>32</v>
      </c>
      <c r="G33" s="59" t="s">
        <v>66</v>
      </c>
      <c r="H33" s="28"/>
      <c r="I33" s="74">
        <v>157000</v>
      </c>
      <c r="J33" s="28"/>
      <c r="K33" s="74">
        <f>I33*1.05</f>
        <v>164850</v>
      </c>
      <c r="L33" s="28"/>
      <c r="M33" s="74">
        <f>K33*1.05</f>
        <v>173092.5</v>
      </c>
      <c r="N33" t="s">
        <v>28</v>
      </c>
      <c r="P33" t="str">
        <f t="shared" si="1"/>
        <v>Professional Development-Contractual Services</v>
      </c>
      <c r="Q33" t="str">
        <f>IFERROR(VLOOKUP($P33,'Short Crosswalk'!$A$1:$G$29,4,0),"")</f>
        <v>Professional Development</v>
      </c>
      <c r="R33" t="str">
        <f>IFERROR(VLOOKUP($P33,'Short Crosswalk'!$A$1:$G$29,7,0),"")</f>
        <v>04-Contracted Services</v>
      </c>
      <c r="S33" t="str">
        <f t="shared" si="2"/>
        <v>Professional Development 04-Contracted Services</v>
      </c>
      <c r="T33">
        <f t="shared" si="3"/>
        <v>4</v>
      </c>
    </row>
    <row r="34" spans="1:20" ht="20.45">
      <c r="A34" s="99"/>
      <c r="B34" s="91"/>
      <c r="C34" s="72" t="str">
        <f t="shared" si="7"/>
        <v xml:space="preserve">Benefits and Fixed Charges </v>
      </c>
      <c r="D34" s="72" t="str">
        <f t="shared" si="7"/>
        <v>04-Contracted Services</v>
      </c>
      <c r="E34" s="57" t="s">
        <v>26</v>
      </c>
      <c r="F34" s="57" t="s">
        <v>36</v>
      </c>
      <c r="G34" s="59" t="s">
        <v>37</v>
      </c>
      <c r="H34" s="28"/>
      <c r="I34" s="75">
        <v>312729</v>
      </c>
      <c r="J34" s="28"/>
      <c r="K34" s="74">
        <f>I34*1.05</f>
        <v>328365.45</v>
      </c>
      <c r="L34" s="28"/>
      <c r="M34" s="74">
        <f>K34*1.05</f>
        <v>344783.72250000003</v>
      </c>
      <c r="N34" t="s">
        <v>28</v>
      </c>
      <c r="P34" t="str">
        <f t="shared" si="1"/>
        <v>Benefits and Fixed Charges -Contractual Services</v>
      </c>
      <c r="Q34" t="str">
        <f>IFERROR(VLOOKUP($P34,'Short Crosswalk'!$A$1:$G$29,4,0),"")</f>
        <v xml:space="preserve">Benefits and Fixed Charges </v>
      </c>
      <c r="R34" t="str">
        <f>IFERROR(VLOOKUP($P34,'Short Crosswalk'!$A$1:$G$29,7,0),"")</f>
        <v>04-Contracted Services</v>
      </c>
      <c r="S34" t="str">
        <f t="shared" si="2"/>
        <v>Benefits and Fixed Charges  04-Contracted Services</v>
      </c>
      <c r="T34">
        <f t="shared" si="3"/>
        <v>4</v>
      </c>
    </row>
    <row r="35" spans="1:20" ht="13.5" customHeight="1">
      <c r="A35" s="60"/>
      <c r="B35" s="61"/>
      <c r="C35" s="73"/>
      <c r="D35" s="73"/>
      <c r="E35" s="62"/>
      <c r="F35" s="62"/>
      <c r="G35" s="63" t="s">
        <v>38</v>
      </c>
      <c r="H35" s="29">
        <f>H29+H30</f>
        <v>15</v>
      </c>
      <c r="I35" s="76">
        <f>SUM(I29:I34)</f>
        <v>2100374</v>
      </c>
      <c r="J35" s="29">
        <f>J29+J30</f>
        <v>15</v>
      </c>
      <c r="K35" s="76">
        <f>SUM(K29:K34)</f>
        <v>2142846.9500000002</v>
      </c>
      <c r="L35" s="29">
        <f>L29+L30</f>
        <v>15</v>
      </c>
      <c r="M35" s="76">
        <f>SUM(M29:M34)</f>
        <v>2187443.5474999999</v>
      </c>
      <c r="N35" s="80">
        <f>SUM(I35+K35+M35)</f>
        <v>6430664.4975000005</v>
      </c>
      <c r="P35" t="str">
        <f t="shared" si="1"/>
        <v>-</v>
      </c>
      <c r="Q35" t="str">
        <f>IFERROR(VLOOKUP($P35,'Short Crosswalk'!$A$1:$G$29,4,0),"")</f>
        <v/>
      </c>
      <c r="R35" t="str">
        <f>IFERROR(VLOOKUP($P35,'Short Crosswalk'!$A$1:$G$29,7,0),"")</f>
        <v/>
      </c>
      <c r="S35" t="str">
        <f t="shared" si="2"/>
        <v xml:space="preserve"> </v>
      </c>
      <c r="T35" t="str">
        <f t="shared" si="3"/>
        <v/>
      </c>
    </row>
    <row r="36" spans="1:20" ht="30.6">
      <c r="A36" s="100" t="s">
        <v>67</v>
      </c>
      <c r="B36" s="91" t="s">
        <v>68</v>
      </c>
      <c r="C36" s="72" t="str">
        <f>Q36</f>
        <v>Professional Development</v>
      </c>
      <c r="D36" s="72" t="str">
        <f>R36</f>
        <v>04-Contracted Services</v>
      </c>
      <c r="E36" s="57" t="s">
        <v>26</v>
      </c>
      <c r="F36" s="57" t="s">
        <v>32</v>
      </c>
      <c r="G36" s="59" t="s">
        <v>69</v>
      </c>
      <c r="H36" s="28"/>
      <c r="I36" s="74">
        <v>58996</v>
      </c>
      <c r="J36" s="28"/>
      <c r="K36" s="74">
        <f>I36*1.05</f>
        <v>61945.8</v>
      </c>
      <c r="L36" s="28"/>
      <c r="M36" s="74">
        <f>K36*1.05</f>
        <v>65043.090000000004</v>
      </c>
      <c r="N36" t="s">
        <v>28</v>
      </c>
      <c r="P36" t="str">
        <f t="shared" si="1"/>
        <v>Professional Development-Contractual Services</v>
      </c>
      <c r="Q36" t="str">
        <f>IFERROR(VLOOKUP($P36,'Short Crosswalk'!$A$1:$G$29,4,0),"")</f>
        <v>Professional Development</v>
      </c>
      <c r="R36" t="str">
        <f>IFERROR(VLOOKUP($P36,'Short Crosswalk'!$A$1:$G$29,7,0),"")</f>
        <v>04-Contracted Services</v>
      </c>
      <c r="S36" t="str">
        <f t="shared" si="2"/>
        <v>Professional Development 04-Contracted Services</v>
      </c>
      <c r="T36">
        <f t="shared" si="3"/>
        <v>4</v>
      </c>
    </row>
    <row r="37" spans="1:20" ht="20.45">
      <c r="A37" s="100"/>
      <c r="B37" s="91"/>
      <c r="C37" s="72" t="str">
        <f>Q37</f>
        <v>Teachers</v>
      </c>
      <c r="D37" s="72" t="str">
        <f>R37</f>
        <v>01-Professional Salaries</v>
      </c>
      <c r="E37" s="57" t="s">
        <v>53</v>
      </c>
      <c r="F37" s="57" t="s">
        <v>44</v>
      </c>
      <c r="G37" s="59" t="s">
        <v>70</v>
      </c>
      <c r="H37" s="28"/>
      <c r="I37" s="74">
        <v>86500</v>
      </c>
      <c r="J37" s="28"/>
      <c r="K37" s="74">
        <f>I37*1.05</f>
        <v>90825</v>
      </c>
      <c r="L37" s="28"/>
      <c r="M37" s="74">
        <f>K37*1.05</f>
        <v>95366.25</v>
      </c>
      <c r="N37" t="s">
        <v>28</v>
      </c>
      <c r="P37" t="str">
        <f t="shared" ref="P37:P68" si="8">_xlfn.CONCAT(F37,"-",E37)</f>
        <v>Classroom &amp; Specialist Teachers-Stipends</v>
      </c>
      <c r="Q37" t="str">
        <f>IFERROR(VLOOKUP($P37,'Short Crosswalk'!$A$1:$G$29,4,0),"")</f>
        <v>Teachers</v>
      </c>
      <c r="R37" t="str">
        <f>IFERROR(VLOOKUP($P37,'Short Crosswalk'!$A$1:$G$29,7,0),"")</f>
        <v>01-Professional Salaries</v>
      </c>
      <c r="S37" t="str">
        <f t="shared" ref="S37:S68" si="9">_xlfn.CONCAT(Q37," ", R37)</f>
        <v>Teachers 01-Professional Salaries</v>
      </c>
      <c r="T37">
        <f t="shared" ref="T37:T68" si="10">IFERROR(VALUE(LEFT(D37,2)),"")</f>
        <v>1</v>
      </c>
    </row>
    <row r="38" spans="1:20" ht="13.5" customHeight="1">
      <c r="A38" s="100"/>
      <c r="B38" s="61"/>
      <c r="C38" s="73"/>
      <c r="D38" s="73"/>
      <c r="E38" s="62"/>
      <c r="F38" s="62"/>
      <c r="G38" s="63" t="s">
        <v>38</v>
      </c>
      <c r="H38" s="30"/>
      <c r="I38" s="76">
        <f>SUM(I36:I37)</f>
        <v>145496</v>
      </c>
      <c r="J38" s="29"/>
      <c r="K38" s="76">
        <f>SUM(K36:K37)</f>
        <v>152770.79999999999</v>
      </c>
      <c r="L38" s="29"/>
      <c r="M38" s="76">
        <f>SUM(M36:M37)</f>
        <v>160409.34</v>
      </c>
      <c r="N38" s="80">
        <f>SUM(I38+K38+M38)</f>
        <v>458676.14</v>
      </c>
      <c r="P38" t="str">
        <f t="shared" si="8"/>
        <v>-</v>
      </c>
      <c r="Q38" t="str">
        <f>IFERROR(VLOOKUP($P38,'Short Crosswalk'!$A$1:$G$29,4,0),"")</f>
        <v/>
      </c>
      <c r="R38" t="str">
        <f>IFERROR(VLOOKUP($P38,'Short Crosswalk'!$A$1:$G$29,7,0),"")</f>
        <v/>
      </c>
      <c r="S38" t="str">
        <f t="shared" si="9"/>
        <v xml:space="preserve"> </v>
      </c>
      <c r="T38" t="str">
        <f t="shared" si="10"/>
        <v/>
      </c>
    </row>
    <row r="39" spans="1:20" ht="30.6">
      <c r="A39" s="100"/>
      <c r="B39" s="101" t="s">
        <v>71</v>
      </c>
      <c r="C39" s="72" t="str">
        <f>Q39</f>
        <v>Professional Development</v>
      </c>
      <c r="D39" s="72" t="str">
        <f>R39</f>
        <v>04-Contracted Services</v>
      </c>
      <c r="E39" s="57" t="s">
        <v>26</v>
      </c>
      <c r="F39" s="57" t="s">
        <v>32</v>
      </c>
      <c r="G39" s="59" t="s">
        <v>72</v>
      </c>
      <c r="H39" s="28"/>
      <c r="I39" s="74">
        <v>25000</v>
      </c>
      <c r="J39" s="28"/>
      <c r="K39" s="74">
        <f>I39*1.05</f>
        <v>26250</v>
      </c>
      <c r="L39" s="28"/>
      <c r="M39" s="74">
        <f>K39*1.05</f>
        <v>27562.5</v>
      </c>
      <c r="N39" t="s">
        <v>28</v>
      </c>
      <c r="P39" t="str">
        <f t="shared" si="8"/>
        <v>Professional Development-Contractual Services</v>
      </c>
      <c r="Q39" t="str">
        <f>IFERROR(VLOOKUP($P39,'Short Crosswalk'!$A$1:$G$29,4,0),"")</f>
        <v>Professional Development</v>
      </c>
      <c r="R39" t="str">
        <f>IFERROR(VLOOKUP($P39,'Short Crosswalk'!$A$1:$G$29,7,0),"")</f>
        <v>04-Contracted Services</v>
      </c>
      <c r="S39" t="str">
        <f t="shared" si="9"/>
        <v>Professional Development 04-Contracted Services</v>
      </c>
      <c r="T39">
        <f t="shared" si="10"/>
        <v>4</v>
      </c>
    </row>
    <row r="40" spans="1:20" ht="20.45">
      <c r="A40" s="100"/>
      <c r="B40" s="101"/>
      <c r="C40" s="72" t="str">
        <f>Q40</f>
        <v>Teachers</v>
      </c>
      <c r="D40" s="72" t="str">
        <f>R40</f>
        <v>01-Professional Salaries</v>
      </c>
      <c r="E40" s="57" t="s">
        <v>53</v>
      </c>
      <c r="F40" s="57" t="s">
        <v>44</v>
      </c>
      <c r="G40" s="59" t="s">
        <v>73</v>
      </c>
      <c r="H40" s="28"/>
      <c r="I40" s="74">
        <v>79500</v>
      </c>
      <c r="J40" s="28"/>
      <c r="K40" s="74">
        <v>79500</v>
      </c>
      <c r="L40" s="28"/>
      <c r="M40" s="74">
        <v>79500</v>
      </c>
      <c r="P40" t="str">
        <f t="shared" si="8"/>
        <v>Classroom &amp; Specialist Teachers-Stipends</v>
      </c>
      <c r="Q40" t="str">
        <f>IFERROR(VLOOKUP($P40,'Short Crosswalk'!$A$1:$G$29,4,0),"")</f>
        <v>Teachers</v>
      </c>
      <c r="R40" t="str">
        <f>IFERROR(VLOOKUP($P40,'Short Crosswalk'!$A$1:$G$29,7,0),"")</f>
        <v>01-Professional Salaries</v>
      </c>
      <c r="S40" t="str">
        <f t="shared" si="9"/>
        <v>Teachers 01-Professional Salaries</v>
      </c>
      <c r="T40">
        <f t="shared" si="10"/>
        <v>1</v>
      </c>
    </row>
    <row r="41" spans="1:20" ht="13.5" customHeight="1" thickBot="1">
      <c r="A41" s="100"/>
      <c r="B41" s="61"/>
      <c r="C41" s="73"/>
      <c r="D41" s="73"/>
      <c r="E41" s="62"/>
      <c r="F41" s="62"/>
      <c r="G41" s="63" t="s">
        <v>38</v>
      </c>
      <c r="H41" s="30"/>
      <c r="I41" s="76">
        <f>SUM(I39:I40)</f>
        <v>104500</v>
      </c>
      <c r="J41" s="29"/>
      <c r="K41" s="76">
        <f>SUM(K39:K40)</f>
        <v>105750</v>
      </c>
      <c r="L41" s="29"/>
      <c r="M41" s="76">
        <f>SUM(M39:M40)</f>
        <v>107062.5</v>
      </c>
      <c r="N41" s="80">
        <f>SUM(I41+K41+M41)</f>
        <v>317312.5</v>
      </c>
      <c r="P41" t="str">
        <f t="shared" si="8"/>
        <v>-</v>
      </c>
      <c r="Q41" t="str">
        <f>IFERROR(VLOOKUP($P41,'Short Crosswalk'!$A$1:$G$29,4,0),"")</f>
        <v/>
      </c>
      <c r="R41" t="str">
        <f>IFERROR(VLOOKUP($P41,'Short Crosswalk'!$A$1:$G$29,7,0),"")</f>
        <v/>
      </c>
      <c r="S41" t="str">
        <f t="shared" si="9"/>
        <v xml:space="preserve"> </v>
      </c>
      <c r="T41" t="str">
        <f t="shared" si="10"/>
        <v/>
      </c>
    </row>
    <row r="42" spans="1:20" ht="61.9" thickBot="1">
      <c r="A42" s="100"/>
      <c r="B42" s="91" t="s">
        <v>74</v>
      </c>
      <c r="C42" s="72" t="str">
        <f t="shared" ref="C42:D45" si="11">Q42</f>
        <v>Teachers</v>
      </c>
      <c r="D42" s="72" t="str">
        <f t="shared" si="11"/>
        <v>01-Professional Salaries</v>
      </c>
      <c r="E42" s="57" t="s">
        <v>41</v>
      </c>
      <c r="F42" s="57" t="s">
        <v>44</v>
      </c>
      <c r="G42" s="59" t="s">
        <v>75</v>
      </c>
      <c r="H42" s="27">
        <v>27</v>
      </c>
      <c r="I42" s="74">
        <v>1873800</v>
      </c>
      <c r="J42" s="27">
        <v>27</v>
      </c>
      <c r="K42" s="74">
        <v>1873800</v>
      </c>
      <c r="L42" s="27">
        <v>27</v>
      </c>
      <c r="M42" s="74">
        <v>1873800</v>
      </c>
      <c r="P42" t="str">
        <f t="shared" si="8"/>
        <v>Classroom &amp; Specialist Teachers-Salaries - Instructional</v>
      </c>
      <c r="Q42" t="str">
        <f>IFERROR(VLOOKUP($P42,'Short Crosswalk'!$A$1:$G$29,4,0),"")</f>
        <v>Teachers</v>
      </c>
      <c r="R42" t="str">
        <f>IFERROR(VLOOKUP($P42,'Short Crosswalk'!$A$1:$G$29,7,0),"")</f>
        <v>01-Professional Salaries</v>
      </c>
      <c r="S42" t="str">
        <f t="shared" si="9"/>
        <v>Teachers 01-Professional Salaries</v>
      </c>
      <c r="T42">
        <f t="shared" si="10"/>
        <v>1</v>
      </c>
    </row>
    <row r="43" spans="1:20" ht="31.15" thickBot="1">
      <c r="A43" s="100"/>
      <c r="B43" s="91"/>
      <c r="C43" s="72" t="str">
        <f t="shared" si="11"/>
        <v>Professional Development</v>
      </c>
      <c r="D43" s="72" t="str">
        <f t="shared" si="11"/>
        <v>04-Contracted Services</v>
      </c>
      <c r="E43" s="57" t="s">
        <v>26</v>
      </c>
      <c r="F43" s="57" t="s">
        <v>32</v>
      </c>
      <c r="G43" s="59" t="s">
        <v>76</v>
      </c>
      <c r="H43" s="28"/>
      <c r="I43" s="74">
        <v>0</v>
      </c>
      <c r="J43" s="28"/>
      <c r="K43" s="74">
        <v>0</v>
      </c>
      <c r="L43" s="28"/>
      <c r="M43" s="74">
        <v>0</v>
      </c>
      <c r="P43" t="str">
        <f t="shared" si="8"/>
        <v>Professional Development-Contractual Services</v>
      </c>
      <c r="Q43" t="str">
        <f>IFERROR(VLOOKUP($P43,'Short Crosswalk'!$A$1:$G$29,4,0),"")</f>
        <v>Professional Development</v>
      </c>
      <c r="R43" t="str">
        <f>IFERROR(VLOOKUP($P43,'Short Crosswalk'!$A$1:$G$29,7,0),"")</f>
        <v>04-Contracted Services</v>
      </c>
      <c r="S43" t="str">
        <f t="shared" si="9"/>
        <v>Professional Development 04-Contracted Services</v>
      </c>
      <c r="T43">
        <f t="shared" si="10"/>
        <v>4</v>
      </c>
    </row>
    <row r="44" spans="1:20" ht="40.9">
      <c r="A44" s="100"/>
      <c r="B44" s="91"/>
      <c r="C44" s="72" t="str">
        <f t="shared" si="11"/>
        <v xml:space="preserve">Instructional Materials, Equipment and Technology </v>
      </c>
      <c r="D44" s="72" t="str">
        <f t="shared" si="11"/>
        <v>05-Supplies and Materials</v>
      </c>
      <c r="E44" s="57" t="s">
        <v>29</v>
      </c>
      <c r="F44" s="57" t="s">
        <v>30</v>
      </c>
      <c r="G44" s="59" t="s">
        <v>77</v>
      </c>
      <c r="H44" s="28"/>
      <c r="I44" s="74">
        <v>0</v>
      </c>
      <c r="J44" s="28"/>
      <c r="K44" s="74">
        <v>0</v>
      </c>
      <c r="L44" s="28"/>
      <c r="M44" s="74">
        <v>0</v>
      </c>
      <c r="P44" t="str">
        <f t="shared" si="8"/>
        <v>Instructional Materials, Equip., and Tech.-Supplies and Materials</v>
      </c>
      <c r="Q44" t="str">
        <f>IFERROR(VLOOKUP($P44,'Short Crosswalk'!$A$1:$G$29,4,0),"")</f>
        <v xml:space="preserve">Instructional Materials, Equipment and Technology </v>
      </c>
      <c r="R44" t="str">
        <f>IFERROR(VLOOKUP($P44,'Short Crosswalk'!$A$1:$G$29,7,0),"")</f>
        <v>05-Supplies and Materials</v>
      </c>
      <c r="S44" t="str">
        <f t="shared" si="9"/>
        <v>Instructional Materials, Equipment and Technology  05-Supplies and Materials</v>
      </c>
      <c r="T44">
        <f t="shared" si="10"/>
        <v>5</v>
      </c>
    </row>
    <row r="45" spans="1:20" ht="20.45">
      <c r="A45" s="100"/>
      <c r="B45" s="91"/>
      <c r="C45" s="72" t="str">
        <f t="shared" si="11"/>
        <v xml:space="preserve">Benefits and Fixed Charges </v>
      </c>
      <c r="D45" s="72" t="str">
        <f t="shared" si="11"/>
        <v>04-Contracted Services</v>
      </c>
      <c r="E45" s="57" t="s">
        <v>26</v>
      </c>
      <c r="F45" s="57" t="s">
        <v>36</v>
      </c>
      <c r="G45" s="59" t="s">
        <v>37</v>
      </c>
      <c r="H45" s="28"/>
      <c r="I45" s="75">
        <v>468450</v>
      </c>
      <c r="J45" s="28"/>
      <c r="K45" s="74">
        <f>I45*1.05</f>
        <v>491872.5</v>
      </c>
      <c r="L45" s="28"/>
      <c r="M45" s="74">
        <f>K45*1.05</f>
        <v>516466.125</v>
      </c>
      <c r="N45" t="s">
        <v>28</v>
      </c>
      <c r="P45" t="str">
        <f t="shared" si="8"/>
        <v>Benefits and Fixed Charges -Contractual Services</v>
      </c>
      <c r="Q45" t="str">
        <f>IFERROR(VLOOKUP($P45,'Short Crosswalk'!$A$1:$G$29,4,0),"")</f>
        <v xml:space="preserve">Benefits and Fixed Charges </v>
      </c>
      <c r="R45" t="str">
        <f>IFERROR(VLOOKUP($P45,'Short Crosswalk'!$A$1:$G$29,7,0),"")</f>
        <v>04-Contracted Services</v>
      </c>
      <c r="S45" t="str">
        <f t="shared" si="9"/>
        <v>Benefits and Fixed Charges  04-Contracted Services</v>
      </c>
      <c r="T45">
        <f t="shared" si="10"/>
        <v>4</v>
      </c>
    </row>
    <row r="46" spans="1:20" ht="13.5" customHeight="1">
      <c r="A46" s="100"/>
      <c r="B46" s="61"/>
      <c r="C46" s="73"/>
      <c r="D46" s="73"/>
      <c r="E46" s="62"/>
      <c r="F46" s="62"/>
      <c r="G46" s="63" t="s">
        <v>38</v>
      </c>
      <c r="H46" s="29">
        <f>H42</f>
        <v>27</v>
      </c>
      <c r="I46" s="76">
        <f>SUM(I42:I45)</f>
        <v>2342250</v>
      </c>
      <c r="J46" s="29">
        <f>J42</f>
        <v>27</v>
      </c>
      <c r="K46" s="76">
        <f>SUM(K42:K45)</f>
        <v>2365672.5</v>
      </c>
      <c r="L46" s="29">
        <f>L42</f>
        <v>27</v>
      </c>
      <c r="M46" s="76">
        <f>SUM(M42:M45)</f>
        <v>2390266.125</v>
      </c>
      <c r="N46" s="80">
        <f>SUM(I46+K46+M46)</f>
        <v>7098188.625</v>
      </c>
      <c r="P46" t="str">
        <f t="shared" si="8"/>
        <v>-</v>
      </c>
      <c r="Q46" t="str">
        <f>IFERROR(VLOOKUP($P46,'Short Crosswalk'!$A$1:$G$29,4,0),"")</f>
        <v/>
      </c>
      <c r="R46" t="str">
        <f>IFERROR(VLOOKUP($P46,'Short Crosswalk'!$A$1:$G$29,7,0),"")</f>
        <v/>
      </c>
      <c r="S46" t="str">
        <f t="shared" si="9"/>
        <v xml:space="preserve"> </v>
      </c>
      <c r="T46" t="str">
        <f t="shared" si="10"/>
        <v/>
      </c>
    </row>
    <row r="47" spans="1:20" ht="20.45">
      <c r="A47" s="100"/>
      <c r="B47" s="91" t="s">
        <v>78</v>
      </c>
      <c r="C47" s="72" t="str">
        <f t="shared" ref="C47:D51" si="12">Q47</f>
        <v>Other Teaching Services</v>
      </c>
      <c r="D47" s="72" t="str">
        <f t="shared" si="12"/>
        <v>03-Other Salaries</v>
      </c>
      <c r="E47" s="57" t="s">
        <v>23</v>
      </c>
      <c r="F47" s="57" t="s">
        <v>79</v>
      </c>
      <c r="G47" s="59" t="s">
        <v>80</v>
      </c>
      <c r="H47" s="27">
        <v>0</v>
      </c>
      <c r="I47" s="74">
        <v>0</v>
      </c>
      <c r="J47" s="27">
        <v>0</v>
      </c>
      <c r="K47" s="74">
        <v>0</v>
      </c>
      <c r="L47" s="27">
        <v>0</v>
      </c>
      <c r="M47" s="74">
        <v>0</v>
      </c>
      <c r="P47" t="str">
        <f t="shared" si="8"/>
        <v>Other Teaching Services-Salaries - Other</v>
      </c>
      <c r="Q47" t="str">
        <f>IFERROR(VLOOKUP($P47,'Short Crosswalk'!$A$1:$G$29,4,0),"")</f>
        <v>Other Teaching Services</v>
      </c>
      <c r="R47" t="str">
        <f>IFERROR(VLOOKUP($P47,'Short Crosswalk'!$A$1:$G$29,7,0),"")</f>
        <v>03-Other Salaries</v>
      </c>
      <c r="S47" t="str">
        <f t="shared" si="9"/>
        <v>Other Teaching Services 03-Other Salaries</v>
      </c>
      <c r="T47">
        <f t="shared" si="10"/>
        <v>3</v>
      </c>
    </row>
    <row r="48" spans="1:20" ht="20.45">
      <c r="A48" s="100"/>
      <c r="B48" s="91"/>
      <c r="C48" s="72" t="str">
        <f t="shared" si="12"/>
        <v>Professional Development</v>
      </c>
      <c r="D48" s="72" t="str">
        <f t="shared" si="12"/>
        <v>04-Contracted Services</v>
      </c>
      <c r="E48" s="57" t="s">
        <v>26</v>
      </c>
      <c r="F48" s="57" t="s">
        <v>32</v>
      </c>
      <c r="G48" s="59" t="s">
        <v>81</v>
      </c>
      <c r="H48" s="28"/>
      <c r="I48" s="74">
        <v>220000</v>
      </c>
      <c r="J48" s="28"/>
      <c r="K48" s="74">
        <f>I48*1.05</f>
        <v>231000</v>
      </c>
      <c r="L48" s="28"/>
      <c r="M48" s="74">
        <f>K48*1.05</f>
        <v>242550</v>
      </c>
      <c r="N48" t="s">
        <v>82</v>
      </c>
      <c r="P48" t="str">
        <f t="shared" si="8"/>
        <v>Professional Development-Contractual Services</v>
      </c>
      <c r="Q48" t="str">
        <f>IFERROR(VLOOKUP($P48,'Short Crosswalk'!$A$1:$G$29,4,0),"")</f>
        <v>Professional Development</v>
      </c>
      <c r="R48" t="str">
        <f>IFERROR(VLOOKUP($P48,'Short Crosswalk'!$A$1:$G$29,7,0),"")</f>
        <v>04-Contracted Services</v>
      </c>
      <c r="S48" t="str">
        <f t="shared" si="9"/>
        <v>Professional Development 04-Contracted Services</v>
      </c>
      <c r="T48">
        <f t="shared" si="10"/>
        <v>4</v>
      </c>
    </row>
    <row r="49" spans="1:20" ht="40.9">
      <c r="A49" s="100"/>
      <c r="B49" s="91"/>
      <c r="C49" s="72" t="str">
        <f t="shared" si="12"/>
        <v xml:space="preserve">Instructional Materials, Equipment and Technology </v>
      </c>
      <c r="D49" s="72" t="str">
        <f t="shared" si="12"/>
        <v>05-Supplies and Materials</v>
      </c>
      <c r="E49" s="57" t="s">
        <v>29</v>
      </c>
      <c r="F49" s="57" t="s">
        <v>30</v>
      </c>
      <c r="G49" s="59" t="s">
        <v>83</v>
      </c>
      <c r="H49" s="28"/>
      <c r="I49" s="74">
        <v>27000</v>
      </c>
      <c r="J49" s="28"/>
      <c r="K49" s="74">
        <f>I49*1.05</f>
        <v>28350</v>
      </c>
      <c r="L49" s="28"/>
      <c r="M49" s="74">
        <f>K49*1.05</f>
        <v>29767.5</v>
      </c>
      <c r="N49" t="s">
        <v>28</v>
      </c>
      <c r="P49" t="str">
        <f t="shared" si="8"/>
        <v>Instructional Materials, Equip., and Tech.-Supplies and Materials</v>
      </c>
      <c r="Q49" t="str">
        <f>IFERROR(VLOOKUP($P49,'Short Crosswalk'!$A$1:$G$29,4,0),"")</f>
        <v xml:space="preserve">Instructional Materials, Equipment and Technology </v>
      </c>
      <c r="R49" t="str">
        <f>IFERROR(VLOOKUP($P49,'Short Crosswalk'!$A$1:$G$29,7,0),"")</f>
        <v>05-Supplies and Materials</v>
      </c>
      <c r="S49" t="str">
        <f t="shared" si="9"/>
        <v>Instructional Materials, Equipment and Technology  05-Supplies and Materials</v>
      </c>
      <c r="T49">
        <f t="shared" si="10"/>
        <v>5</v>
      </c>
    </row>
    <row r="50" spans="1:20" ht="20.45">
      <c r="A50" s="100"/>
      <c r="B50" s="91"/>
      <c r="C50" s="72" t="str">
        <f t="shared" si="12"/>
        <v>Teachers</v>
      </c>
      <c r="D50" s="72" t="str">
        <f t="shared" si="12"/>
        <v>01-Professional Salaries</v>
      </c>
      <c r="E50" s="57" t="s">
        <v>53</v>
      </c>
      <c r="F50" s="57" t="s">
        <v>44</v>
      </c>
      <c r="G50" s="59" t="s">
        <v>84</v>
      </c>
      <c r="H50" s="28"/>
      <c r="I50" s="74">
        <v>232800</v>
      </c>
      <c r="J50" s="28"/>
      <c r="K50" s="74">
        <v>232800</v>
      </c>
      <c r="L50" s="28"/>
      <c r="M50" s="74">
        <v>232800</v>
      </c>
      <c r="P50" t="str">
        <f t="shared" si="8"/>
        <v>Classroom &amp; Specialist Teachers-Stipends</v>
      </c>
      <c r="Q50" t="str">
        <f>IFERROR(VLOOKUP($P50,'Short Crosswalk'!$A$1:$G$29,4,0),"")</f>
        <v>Teachers</v>
      </c>
      <c r="R50" t="str">
        <f>IFERROR(VLOOKUP($P50,'Short Crosswalk'!$A$1:$G$29,7,0),"")</f>
        <v>01-Professional Salaries</v>
      </c>
      <c r="S50" t="str">
        <f t="shared" si="9"/>
        <v>Teachers 01-Professional Salaries</v>
      </c>
      <c r="T50">
        <f t="shared" si="10"/>
        <v>1</v>
      </c>
    </row>
    <row r="51" spans="1:20" ht="20.45">
      <c r="A51" s="100"/>
      <c r="B51" s="91"/>
      <c r="C51" s="72" t="str">
        <f t="shared" si="12"/>
        <v xml:space="preserve">Benefits and Fixed Charges </v>
      </c>
      <c r="D51" s="72" t="str">
        <f t="shared" si="12"/>
        <v>04-Contracted Services</v>
      </c>
      <c r="E51" s="57" t="s">
        <v>26</v>
      </c>
      <c r="F51" s="57" t="s">
        <v>36</v>
      </c>
      <c r="G51" s="59" t="s">
        <v>37</v>
      </c>
      <c r="H51" s="28"/>
      <c r="I51" s="75">
        <v>0</v>
      </c>
      <c r="J51" s="28"/>
      <c r="K51" s="75">
        <v>0</v>
      </c>
      <c r="L51" s="28"/>
      <c r="M51" s="75">
        <v>0</v>
      </c>
      <c r="P51" t="str">
        <f t="shared" si="8"/>
        <v>Benefits and Fixed Charges -Contractual Services</v>
      </c>
      <c r="Q51" t="str">
        <f>IFERROR(VLOOKUP($P51,'Short Crosswalk'!$A$1:$G$29,4,0),"")</f>
        <v xml:space="preserve">Benefits and Fixed Charges </v>
      </c>
      <c r="R51" t="str">
        <f>IFERROR(VLOOKUP($P51,'Short Crosswalk'!$A$1:$G$29,7,0),"")</f>
        <v>04-Contracted Services</v>
      </c>
      <c r="S51" t="str">
        <f t="shared" si="9"/>
        <v>Benefits and Fixed Charges  04-Contracted Services</v>
      </c>
      <c r="T51">
        <f t="shared" si="10"/>
        <v>4</v>
      </c>
    </row>
    <row r="52" spans="1:20" ht="13.5" customHeight="1">
      <c r="A52" s="60"/>
      <c r="B52" s="61"/>
      <c r="C52" s="73"/>
      <c r="D52" s="73"/>
      <c r="E52" s="62"/>
      <c r="F52" s="62"/>
      <c r="G52" s="63" t="s">
        <v>38</v>
      </c>
      <c r="H52" s="29">
        <f>H47</f>
        <v>0</v>
      </c>
      <c r="I52" s="76">
        <f>SUM(I47:I51)</f>
        <v>479800</v>
      </c>
      <c r="J52" s="29">
        <f>J47</f>
        <v>0</v>
      </c>
      <c r="K52" s="76">
        <f>SUM(K47:K51)</f>
        <v>492150</v>
      </c>
      <c r="L52" s="29">
        <f>L47</f>
        <v>0</v>
      </c>
      <c r="M52" s="76">
        <f>SUM(M47:M51)</f>
        <v>505117.5</v>
      </c>
      <c r="N52" s="80">
        <f>SUM(I52+K52+M52)</f>
        <v>1477067.5</v>
      </c>
      <c r="P52" t="str">
        <f t="shared" si="8"/>
        <v>-</v>
      </c>
      <c r="Q52" t="str">
        <f>IFERROR(VLOOKUP($P52,'Short Crosswalk'!$A$1:$G$29,4,0),"")</f>
        <v/>
      </c>
      <c r="R52" t="str">
        <f>IFERROR(VLOOKUP($P52,'Short Crosswalk'!$A$1:$G$29,7,0),"")</f>
        <v/>
      </c>
      <c r="S52" t="str">
        <f t="shared" si="9"/>
        <v xml:space="preserve"> </v>
      </c>
      <c r="T52" t="str">
        <f t="shared" si="10"/>
        <v/>
      </c>
    </row>
    <row r="53" spans="1:20" ht="30.6">
      <c r="A53" s="102" t="s">
        <v>85</v>
      </c>
      <c r="B53" s="91" t="s">
        <v>86</v>
      </c>
      <c r="C53" s="72" t="str">
        <f t="shared" ref="C53:D57" si="13">Q53</f>
        <v xml:space="preserve">Guidance, Counseling and Testing </v>
      </c>
      <c r="D53" s="72" t="str">
        <f t="shared" si="13"/>
        <v>01-Professional Salaries</v>
      </c>
      <c r="E53" s="57" t="s">
        <v>23</v>
      </c>
      <c r="F53" s="57" t="s">
        <v>24</v>
      </c>
      <c r="G53" s="59" t="s">
        <v>87</v>
      </c>
      <c r="H53" s="27">
        <v>5</v>
      </c>
      <c r="I53" s="74">
        <v>397553</v>
      </c>
      <c r="J53" s="27">
        <v>5</v>
      </c>
      <c r="K53" s="74">
        <v>397553</v>
      </c>
      <c r="L53" s="27">
        <v>5</v>
      </c>
      <c r="M53" s="74">
        <v>397553</v>
      </c>
      <c r="P53" t="str">
        <f t="shared" si="8"/>
        <v>Guidance and Psychological-Salaries - Other</v>
      </c>
      <c r="Q53" t="str">
        <f>IFERROR(VLOOKUP($P53,'Short Crosswalk'!$A$1:$G$29,4,0),"")</f>
        <v xml:space="preserve">Guidance, Counseling and Testing </v>
      </c>
      <c r="R53" t="str">
        <f>IFERROR(VLOOKUP($P53,'Short Crosswalk'!$A$1:$G$29,7,0),"")</f>
        <v>01-Professional Salaries</v>
      </c>
      <c r="S53" t="str">
        <f t="shared" si="9"/>
        <v>Guidance, Counseling and Testing  01-Professional Salaries</v>
      </c>
      <c r="T53">
        <f t="shared" si="10"/>
        <v>1</v>
      </c>
    </row>
    <row r="54" spans="1:20" ht="20.45">
      <c r="A54" s="102"/>
      <c r="B54" s="91"/>
      <c r="C54" s="72" t="str">
        <f t="shared" si="13"/>
        <v>Teachers</v>
      </c>
      <c r="D54" s="72" t="str">
        <f t="shared" si="13"/>
        <v>01-Professional Salaries</v>
      </c>
      <c r="E54" s="57" t="s">
        <v>41</v>
      </c>
      <c r="F54" s="57" t="s">
        <v>44</v>
      </c>
      <c r="G54" s="59" t="s">
        <v>88</v>
      </c>
      <c r="H54" s="28"/>
      <c r="I54" s="74">
        <v>1345740</v>
      </c>
      <c r="J54" s="28"/>
      <c r="K54" s="74">
        <v>1345740</v>
      </c>
      <c r="L54" s="28"/>
      <c r="M54" s="74">
        <v>1345740</v>
      </c>
      <c r="N54" s="85"/>
      <c r="P54" t="str">
        <f t="shared" si="8"/>
        <v>Classroom &amp; Specialist Teachers-Salaries - Instructional</v>
      </c>
      <c r="Q54" t="str">
        <f>IFERROR(VLOOKUP($P54,'Short Crosswalk'!$A$1:$G$29,4,0),"")</f>
        <v>Teachers</v>
      </c>
      <c r="R54" t="str">
        <f>IFERROR(VLOOKUP($P54,'Short Crosswalk'!$A$1:$G$29,7,0),"")</f>
        <v>01-Professional Salaries</v>
      </c>
      <c r="S54" t="str">
        <f t="shared" si="9"/>
        <v>Teachers 01-Professional Salaries</v>
      </c>
      <c r="T54">
        <f t="shared" si="10"/>
        <v>1</v>
      </c>
    </row>
    <row r="55" spans="1:20" ht="20.45">
      <c r="A55" s="102"/>
      <c r="B55" s="91"/>
      <c r="C55" s="72" t="str">
        <f t="shared" si="13"/>
        <v>Instruction</v>
      </c>
      <c r="D55" s="72" t="str">
        <f t="shared" si="13"/>
        <v>01-Professional Salaries</v>
      </c>
      <c r="E55" s="57" t="s">
        <v>53</v>
      </c>
      <c r="F55" s="57" t="s">
        <v>42</v>
      </c>
      <c r="G55" s="59" t="s">
        <v>89</v>
      </c>
      <c r="H55" s="28"/>
      <c r="I55" s="74">
        <v>55446</v>
      </c>
      <c r="J55" s="28"/>
      <c r="K55" s="74">
        <f>I55*1.05</f>
        <v>58218.3</v>
      </c>
      <c r="L55" s="28"/>
      <c r="M55" s="74">
        <f>K55*1.05</f>
        <v>61129.215000000004</v>
      </c>
      <c r="N55" t="s">
        <v>28</v>
      </c>
      <c r="P55" t="str">
        <f t="shared" si="8"/>
        <v>Instruction Leadership-Stipends</v>
      </c>
      <c r="Q55" t="str">
        <f>IFERROR(VLOOKUP($P55,'Short Crosswalk'!$A$1:$G$29,4,0),"")</f>
        <v>Instruction</v>
      </c>
      <c r="R55" t="str">
        <f>IFERROR(VLOOKUP($P55,'Short Crosswalk'!$A$1:$G$29,7,0),"")</f>
        <v>01-Professional Salaries</v>
      </c>
      <c r="S55" t="str">
        <f t="shared" si="9"/>
        <v>Instruction 01-Professional Salaries</v>
      </c>
      <c r="T55">
        <f t="shared" si="10"/>
        <v>1</v>
      </c>
    </row>
    <row r="56" spans="1:20" ht="20.45">
      <c r="A56" s="102"/>
      <c r="B56" s="91"/>
      <c r="C56" s="72" t="str">
        <f t="shared" si="13"/>
        <v xml:space="preserve">Operations and Maintenance </v>
      </c>
      <c r="D56" s="72" t="str">
        <f t="shared" si="13"/>
        <v>06-Other Expenses</v>
      </c>
      <c r="E56" s="57" t="s">
        <v>90</v>
      </c>
      <c r="F56" s="57" t="s">
        <v>34</v>
      </c>
      <c r="G56" s="59" t="s">
        <v>91</v>
      </c>
      <c r="H56" s="28"/>
      <c r="I56" s="74">
        <v>24850</v>
      </c>
      <c r="J56" s="28"/>
      <c r="K56" s="74">
        <f>I56*1.05</f>
        <v>26092.5</v>
      </c>
      <c r="L56" s="28"/>
      <c r="M56" s="74">
        <f>K56*1.05</f>
        <v>27397.125</v>
      </c>
      <c r="N56" t="s">
        <v>28</v>
      </c>
      <c r="P56" t="str">
        <f t="shared" si="8"/>
        <v>Operations and Maintenance-Other</v>
      </c>
      <c r="Q56" t="str">
        <f>IFERROR(VLOOKUP($P56,'Short Crosswalk'!$A$1:$G$29,4,0),"")</f>
        <v xml:space="preserve">Operations and Maintenance </v>
      </c>
      <c r="R56" t="str">
        <f>IFERROR(VLOOKUP($P56,'Short Crosswalk'!$A$1:$G$29,7,0),"")</f>
        <v>06-Other Expenses</v>
      </c>
      <c r="S56" t="str">
        <f t="shared" si="9"/>
        <v>Operations and Maintenance  06-Other Expenses</v>
      </c>
      <c r="T56">
        <f t="shared" si="10"/>
        <v>6</v>
      </c>
    </row>
    <row r="57" spans="1:20" ht="20.45">
      <c r="A57" s="102"/>
      <c r="B57" s="91"/>
      <c r="C57" s="72" t="str">
        <f t="shared" si="13"/>
        <v xml:space="preserve">Benefits and Fixed Charges </v>
      </c>
      <c r="D57" s="72" t="str">
        <f t="shared" si="13"/>
        <v>04-Contracted Services</v>
      </c>
      <c r="E57" s="57" t="s">
        <v>26</v>
      </c>
      <c r="F57" s="57" t="s">
        <v>36</v>
      </c>
      <c r="G57" s="59" t="s">
        <v>37</v>
      </c>
      <c r="H57" s="28"/>
      <c r="I57" s="75">
        <v>423635</v>
      </c>
      <c r="J57" s="28"/>
      <c r="K57" s="74">
        <f>I57*1.05</f>
        <v>444816.75</v>
      </c>
      <c r="L57" s="28"/>
      <c r="M57" s="74">
        <f>K57*1.05</f>
        <v>467057.58750000002</v>
      </c>
      <c r="N57" t="s">
        <v>28</v>
      </c>
      <c r="P57" t="str">
        <f t="shared" si="8"/>
        <v>Benefits and Fixed Charges -Contractual Services</v>
      </c>
      <c r="Q57" t="str">
        <f>IFERROR(VLOOKUP($P57,'Short Crosswalk'!$A$1:$G$29,4,0),"")</f>
        <v xml:space="preserve">Benefits and Fixed Charges </v>
      </c>
      <c r="R57" t="str">
        <f>IFERROR(VLOOKUP($P57,'Short Crosswalk'!$A$1:$G$29,7,0),"")</f>
        <v>04-Contracted Services</v>
      </c>
      <c r="S57" t="str">
        <f t="shared" si="9"/>
        <v>Benefits and Fixed Charges  04-Contracted Services</v>
      </c>
      <c r="T57">
        <f t="shared" si="10"/>
        <v>4</v>
      </c>
    </row>
    <row r="58" spans="1:20" ht="13.5" customHeight="1">
      <c r="A58" s="60"/>
      <c r="B58" s="61"/>
      <c r="C58" s="73"/>
      <c r="D58" s="73"/>
      <c r="E58" s="62"/>
      <c r="F58" s="62"/>
      <c r="G58" s="63" t="s">
        <v>38</v>
      </c>
      <c r="H58" s="29">
        <f>H53</f>
        <v>5</v>
      </c>
      <c r="I58" s="76">
        <f>SUM(I53:I57)</f>
        <v>2247224</v>
      </c>
      <c r="J58" s="29">
        <f>J53</f>
        <v>5</v>
      </c>
      <c r="K58" s="76">
        <f>SUM(K53:K57)</f>
        <v>2272420.5499999998</v>
      </c>
      <c r="L58" s="29">
        <f>L53</f>
        <v>5</v>
      </c>
      <c r="M58" s="76">
        <f>SUM(M53:M57)</f>
        <v>2298876.9275000002</v>
      </c>
      <c r="N58" s="80">
        <f>SUM(I58+K58+M58)</f>
        <v>6818521.4775</v>
      </c>
      <c r="P58" t="str">
        <f t="shared" si="8"/>
        <v>-</v>
      </c>
      <c r="Q58" t="str">
        <f>IFERROR(VLOOKUP($P58,'Short Crosswalk'!$A$1:$G$29,4,0),"")</f>
        <v/>
      </c>
      <c r="R58" t="str">
        <f>IFERROR(VLOOKUP($P58,'Short Crosswalk'!$A$1:$G$29,7,0),"")</f>
        <v/>
      </c>
      <c r="S58" t="str">
        <f t="shared" si="9"/>
        <v xml:space="preserve"> </v>
      </c>
      <c r="T58" t="str">
        <f t="shared" si="10"/>
        <v/>
      </c>
    </row>
    <row r="59" spans="1:20" ht="20.45">
      <c r="A59" s="103" t="s">
        <v>92</v>
      </c>
      <c r="B59" s="91" t="s">
        <v>93</v>
      </c>
      <c r="C59" s="72" t="str">
        <f t="shared" ref="C59:D64" si="14">Q59</f>
        <v>Administration</v>
      </c>
      <c r="D59" s="72" t="str">
        <f t="shared" si="14"/>
        <v>01-Professional Salaries</v>
      </c>
      <c r="E59" s="57" t="s">
        <v>94</v>
      </c>
      <c r="F59" s="57" t="s">
        <v>95</v>
      </c>
      <c r="G59" s="59" t="s">
        <v>96</v>
      </c>
      <c r="H59" s="27">
        <v>1</v>
      </c>
      <c r="I59" s="74">
        <v>94091</v>
      </c>
      <c r="J59" s="27">
        <v>1</v>
      </c>
      <c r="K59" s="74">
        <v>94091</v>
      </c>
      <c r="L59" s="27">
        <v>1</v>
      </c>
      <c r="M59" s="74">
        <v>94091</v>
      </c>
      <c r="P59" t="str">
        <f t="shared" si="8"/>
        <v>Administration-Salaries - Administrator</v>
      </c>
      <c r="Q59" t="str">
        <f>IFERROR(VLOOKUP($P59,'Short Crosswalk'!$A$1:$G$29,4,0),"")</f>
        <v>Administration</v>
      </c>
      <c r="R59" t="str">
        <f>IFERROR(VLOOKUP($P59,'Short Crosswalk'!$A$1:$G$29,7,0),"")</f>
        <v>01-Professional Salaries</v>
      </c>
      <c r="S59" t="str">
        <f t="shared" si="9"/>
        <v>Administration 01-Professional Salaries</v>
      </c>
      <c r="T59">
        <f t="shared" si="10"/>
        <v>1</v>
      </c>
    </row>
    <row r="60" spans="1:20" ht="20.45">
      <c r="A60" s="103"/>
      <c r="B60" s="91"/>
      <c r="C60" s="72" t="str">
        <f t="shared" si="14"/>
        <v>Teachers</v>
      </c>
      <c r="D60" s="72" t="str">
        <f t="shared" si="14"/>
        <v>01-Professional Salaries</v>
      </c>
      <c r="E60" s="57" t="s">
        <v>41</v>
      </c>
      <c r="F60" s="57" t="s">
        <v>44</v>
      </c>
      <c r="G60" s="59" t="s">
        <v>97</v>
      </c>
      <c r="H60" s="27">
        <v>17</v>
      </c>
      <c r="I60" s="74">
        <v>1179800</v>
      </c>
      <c r="J60" s="27">
        <v>17</v>
      </c>
      <c r="K60" s="74">
        <v>1179800</v>
      </c>
      <c r="L60" s="27">
        <v>17</v>
      </c>
      <c r="M60" s="74">
        <v>1179800</v>
      </c>
      <c r="P60" t="str">
        <f t="shared" si="8"/>
        <v>Classroom &amp; Specialist Teachers-Salaries - Instructional</v>
      </c>
      <c r="Q60" t="str">
        <f>IFERROR(VLOOKUP($P60,'Short Crosswalk'!$A$1:$G$29,4,0),"")</f>
        <v>Teachers</v>
      </c>
      <c r="R60" t="str">
        <f>IFERROR(VLOOKUP($P60,'Short Crosswalk'!$A$1:$G$29,7,0),"")</f>
        <v>01-Professional Salaries</v>
      </c>
      <c r="S60" t="str">
        <f t="shared" si="9"/>
        <v>Teachers 01-Professional Salaries</v>
      </c>
      <c r="T60">
        <f t="shared" si="10"/>
        <v>1</v>
      </c>
    </row>
    <row r="61" spans="1:20" ht="20.45">
      <c r="A61" s="103"/>
      <c r="B61" s="91"/>
      <c r="C61" s="72" t="str">
        <f t="shared" si="14"/>
        <v>Other Teaching Services</v>
      </c>
      <c r="D61" s="72" t="str">
        <f t="shared" si="14"/>
        <v>02-Clerical Salaries</v>
      </c>
      <c r="E61" s="57" t="s">
        <v>98</v>
      </c>
      <c r="F61" s="57" t="s">
        <v>79</v>
      </c>
      <c r="G61" s="59" t="s">
        <v>99</v>
      </c>
      <c r="H61" s="27">
        <v>37</v>
      </c>
      <c r="I61" s="74">
        <v>1190660</v>
      </c>
      <c r="J61" s="27">
        <v>37</v>
      </c>
      <c r="K61" s="74">
        <v>1190660</v>
      </c>
      <c r="L61" s="27">
        <v>37</v>
      </c>
      <c r="M61" s="74">
        <v>1190660</v>
      </c>
      <c r="P61" t="str">
        <f t="shared" si="8"/>
        <v>Other Teaching Services-Salaries - Clerical/Support</v>
      </c>
      <c r="Q61" t="str">
        <f>IFERROR(VLOOKUP($P61,'Short Crosswalk'!$A$1:$G$29,4,0),"")</f>
        <v>Other Teaching Services</v>
      </c>
      <c r="R61" t="str">
        <f>IFERROR(VLOOKUP($P61,'Short Crosswalk'!$A$1:$G$29,7,0),"")</f>
        <v>02-Clerical Salaries</v>
      </c>
      <c r="S61" t="str">
        <f t="shared" si="9"/>
        <v>Other Teaching Services 02-Clerical Salaries</v>
      </c>
      <c r="T61">
        <f t="shared" si="10"/>
        <v>2</v>
      </c>
    </row>
    <row r="62" spans="1:20" ht="20.45">
      <c r="A62" s="103"/>
      <c r="B62" s="91"/>
      <c r="C62" s="72" t="str">
        <f t="shared" si="14"/>
        <v xml:space="preserve">Operations and Maintenance </v>
      </c>
      <c r="D62" s="72" t="str">
        <f t="shared" si="14"/>
        <v>05-Supplies and Materials</v>
      </c>
      <c r="E62" s="57" t="s">
        <v>29</v>
      </c>
      <c r="F62" s="57" t="s">
        <v>34</v>
      </c>
      <c r="G62" s="59" t="s">
        <v>100</v>
      </c>
      <c r="H62" s="28"/>
      <c r="I62" s="74">
        <v>0</v>
      </c>
      <c r="J62" s="28"/>
      <c r="K62" s="74">
        <v>0</v>
      </c>
      <c r="L62" s="28"/>
      <c r="M62" s="74">
        <v>0</v>
      </c>
      <c r="P62" t="str">
        <f t="shared" si="8"/>
        <v>Operations and Maintenance-Supplies and Materials</v>
      </c>
      <c r="Q62" t="str">
        <f>IFERROR(VLOOKUP($P62,'Short Crosswalk'!$A$1:$G$29,4,0),"")</f>
        <v xml:space="preserve">Operations and Maintenance </v>
      </c>
      <c r="R62" t="str">
        <f>IFERROR(VLOOKUP($P62,'Short Crosswalk'!$A$1:$G$29,7,0),"")</f>
        <v>05-Supplies and Materials</v>
      </c>
      <c r="S62" t="str">
        <f t="shared" si="9"/>
        <v>Operations and Maintenance  05-Supplies and Materials</v>
      </c>
      <c r="T62">
        <f t="shared" si="10"/>
        <v>5</v>
      </c>
    </row>
    <row r="63" spans="1:20" ht="40.9">
      <c r="A63" s="103"/>
      <c r="B63" s="91"/>
      <c r="C63" s="72" t="str">
        <f t="shared" si="14"/>
        <v xml:space="preserve">Instructional Materials, Equipment and Technology </v>
      </c>
      <c r="D63" s="72" t="str">
        <f t="shared" si="14"/>
        <v>05-Supplies and Materials</v>
      </c>
      <c r="E63" s="57" t="s">
        <v>29</v>
      </c>
      <c r="F63" s="57" t="s">
        <v>30</v>
      </c>
      <c r="G63" s="59" t="s">
        <v>101</v>
      </c>
      <c r="H63" s="28"/>
      <c r="I63" s="74">
        <v>814808</v>
      </c>
      <c r="J63" s="28"/>
      <c r="K63" s="74">
        <f t="shared" ref="K63:K64" si="15">I63*1.05</f>
        <v>855548.4</v>
      </c>
      <c r="L63" s="28"/>
      <c r="M63" s="74">
        <f t="shared" ref="M63:M64" si="16">K63*1.05</f>
        <v>898325.82000000007</v>
      </c>
      <c r="N63" t="s">
        <v>28</v>
      </c>
      <c r="P63" t="str">
        <f t="shared" si="8"/>
        <v>Instructional Materials, Equip., and Tech.-Supplies and Materials</v>
      </c>
      <c r="Q63" t="str">
        <f>IFERROR(VLOOKUP($P63,'Short Crosswalk'!$A$1:$G$29,4,0),"")</f>
        <v xml:space="preserve">Instructional Materials, Equipment and Technology </v>
      </c>
      <c r="R63" t="str">
        <f>IFERROR(VLOOKUP($P63,'Short Crosswalk'!$A$1:$G$29,7,0),"")</f>
        <v>05-Supplies and Materials</v>
      </c>
      <c r="S63" t="str">
        <f t="shared" si="9"/>
        <v>Instructional Materials, Equipment and Technology  05-Supplies and Materials</v>
      </c>
      <c r="T63">
        <f t="shared" si="10"/>
        <v>5</v>
      </c>
    </row>
    <row r="64" spans="1:20" ht="20.45">
      <c r="A64" s="103"/>
      <c r="B64" s="91"/>
      <c r="C64" s="72" t="str">
        <f t="shared" si="14"/>
        <v xml:space="preserve">Benefits and Fixed Charges </v>
      </c>
      <c r="D64" s="72" t="str">
        <f t="shared" si="14"/>
        <v>04-Contracted Services</v>
      </c>
      <c r="E64" s="57" t="s">
        <v>26</v>
      </c>
      <c r="F64" s="57" t="s">
        <v>36</v>
      </c>
      <c r="G64" s="59" t="s">
        <v>37</v>
      </c>
      <c r="H64" s="28"/>
      <c r="I64" s="75">
        <v>616138</v>
      </c>
      <c r="J64" s="28"/>
      <c r="K64" s="74">
        <f t="shared" si="15"/>
        <v>646944.9</v>
      </c>
      <c r="L64" s="28"/>
      <c r="M64" s="74">
        <f t="shared" si="16"/>
        <v>679292.14500000002</v>
      </c>
      <c r="N64" t="s">
        <v>28</v>
      </c>
      <c r="O64" t="s">
        <v>102</v>
      </c>
      <c r="P64" t="str">
        <f t="shared" si="8"/>
        <v>Benefits and Fixed Charges -Contractual Services</v>
      </c>
      <c r="Q64" t="str">
        <f>IFERROR(VLOOKUP($P64,'Short Crosswalk'!$A$1:$G$29,4,0),"")</f>
        <v xml:space="preserve">Benefits and Fixed Charges </v>
      </c>
      <c r="R64" t="str">
        <f>IFERROR(VLOOKUP($P64,'Short Crosswalk'!$A$1:$G$29,7,0),"")</f>
        <v>04-Contracted Services</v>
      </c>
      <c r="S64" t="str">
        <f t="shared" si="9"/>
        <v>Benefits and Fixed Charges  04-Contracted Services</v>
      </c>
      <c r="T64">
        <f t="shared" si="10"/>
        <v>4</v>
      </c>
    </row>
    <row r="65" spans="1:20" ht="13.5" customHeight="1">
      <c r="A65" s="103"/>
      <c r="B65" s="61"/>
      <c r="C65" s="73"/>
      <c r="D65" s="73"/>
      <c r="E65" s="62"/>
      <c r="F65" s="62"/>
      <c r="G65" s="63" t="s">
        <v>38</v>
      </c>
      <c r="H65" s="29">
        <f>SUM(H59+H60+H61)</f>
        <v>55</v>
      </c>
      <c r="I65" s="76">
        <f>SUM(I59:I64)</f>
        <v>3895497</v>
      </c>
      <c r="J65" s="29">
        <f>SUM(J59+J60+J61)</f>
        <v>55</v>
      </c>
      <c r="K65" s="76">
        <f>SUM(K59:K64)</f>
        <v>3967044.3</v>
      </c>
      <c r="L65" s="29">
        <f>SUM(L59+L60+L61)</f>
        <v>55</v>
      </c>
      <c r="M65" s="76">
        <f>SUM(M59:M64)</f>
        <v>4042168.9650000003</v>
      </c>
      <c r="N65" s="80">
        <f>SUM(I65+K65+M65)</f>
        <v>11904710.265000001</v>
      </c>
      <c r="P65" t="str">
        <f t="shared" si="8"/>
        <v>-</v>
      </c>
      <c r="Q65" t="str">
        <f>IFERROR(VLOOKUP($P65,'Short Crosswalk'!$A$1:$G$29,4,0),"")</f>
        <v/>
      </c>
      <c r="R65" t="str">
        <f>IFERROR(VLOOKUP($P65,'Short Crosswalk'!$A$1:$G$29,7,0),"")</f>
        <v/>
      </c>
      <c r="S65" t="str">
        <f t="shared" si="9"/>
        <v xml:space="preserve"> </v>
      </c>
      <c r="T65" t="str">
        <f t="shared" si="10"/>
        <v/>
      </c>
    </row>
    <row r="66" spans="1:20" ht="20.45">
      <c r="A66" s="103"/>
      <c r="B66" s="104" t="s">
        <v>103</v>
      </c>
      <c r="C66" s="72" t="str">
        <f>Q66</f>
        <v>Teachers</v>
      </c>
      <c r="D66" s="72" t="str">
        <f>R66</f>
        <v>01-Professional Salaries</v>
      </c>
      <c r="E66" s="57" t="s">
        <v>53</v>
      </c>
      <c r="F66" s="57" t="s">
        <v>44</v>
      </c>
      <c r="G66" s="59" t="s">
        <v>104</v>
      </c>
      <c r="H66" s="31"/>
      <c r="I66" s="74">
        <v>1435629</v>
      </c>
      <c r="J66" s="28"/>
      <c r="K66" s="74">
        <v>1435629</v>
      </c>
      <c r="L66" s="28"/>
      <c r="M66" s="74">
        <v>1435629</v>
      </c>
      <c r="N66" t="s">
        <v>105</v>
      </c>
      <c r="P66" t="str">
        <f t="shared" si="8"/>
        <v>Classroom &amp; Specialist Teachers-Stipends</v>
      </c>
      <c r="Q66" t="str">
        <f>IFERROR(VLOOKUP($P66,'Short Crosswalk'!$A$1:$G$29,4,0),"")</f>
        <v>Teachers</v>
      </c>
      <c r="R66" t="str">
        <f>IFERROR(VLOOKUP($P66,'Short Crosswalk'!$A$1:$G$29,7,0),"")</f>
        <v>01-Professional Salaries</v>
      </c>
      <c r="S66" t="str">
        <f t="shared" si="9"/>
        <v>Teachers 01-Professional Salaries</v>
      </c>
      <c r="T66">
        <f t="shared" si="10"/>
        <v>1</v>
      </c>
    </row>
    <row r="67" spans="1:20" ht="20.45">
      <c r="A67" s="103"/>
      <c r="B67" s="104"/>
      <c r="C67" s="72" t="str">
        <f>Q67</f>
        <v>Other Teaching Services</v>
      </c>
      <c r="D67" s="72" t="str">
        <f>R67</f>
        <v>04-Contracted Services</v>
      </c>
      <c r="E67" s="57" t="s">
        <v>26</v>
      </c>
      <c r="F67" s="57" t="s">
        <v>79</v>
      </c>
      <c r="G67" s="59" t="s">
        <v>106</v>
      </c>
      <c r="H67" s="31"/>
      <c r="I67" s="74">
        <f>125427+814345</f>
        <v>939772</v>
      </c>
      <c r="J67" s="28"/>
      <c r="K67" s="74">
        <f t="shared" ref="K67" si="17">I67*1.05</f>
        <v>986760.60000000009</v>
      </c>
      <c r="L67" s="28"/>
      <c r="M67" s="74">
        <f t="shared" ref="M67" si="18">K67*1.05</f>
        <v>1036098.6300000001</v>
      </c>
      <c r="N67" t="s">
        <v>28</v>
      </c>
      <c r="P67" t="str">
        <f t="shared" si="8"/>
        <v>Other Teaching Services-Contractual Services</v>
      </c>
      <c r="Q67" t="str">
        <f>IFERROR(VLOOKUP($P67,'Short Crosswalk'!$A$1:$G$29,4,0),"")</f>
        <v>Other Teaching Services</v>
      </c>
      <c r="R67" t="str">
        <f>IFERROR(VLOOKUP($P67,'Short Crosswalk'!$A$1:$G$29,7,0),"")</f>
        <v>04-Contracted Services</v>
      </c>
      <c r="S67" t="str">
        <f t="shared" si="9"/>
        <v>Other Teaching Services 04-Contracted Services</v>
      </c>
      <c r="T67">
        <f t="shared" si="10"/>
        <v>4</v>
      </c>
    </row>
    <row r="68" spans="1:20" ht="13.5" customHeight="1">
      <c r="A68" s="103"/>
      <c r="B68" s="61"/>
      <c r="C68" s="73"/>
      <c r="D68" s="73"/>
      <c r="E68" s="62"/>
      <c r="F68" s="62"/>
      <c r="G68" s="63" t="s">
        <v>38</v>
      </c>
      <c r="H68" s="30"/>
      <c r="I68" s="76">
        <f>SUM(I66:I67)</f>
        <v>2375401</v>
      </c>
      <c r="J68" s="29"/>
      <c r="K68" s="76">
        <f>SUM(K66:K67)</f>
        <v>2422389.6</v>
      </c>
      <c r="L68" s="29"/>
      <c r="M68" s="76">
        <f>SUM(M66:M67)</f>
        <v>2471727.63</v>
      </c>
      <c r="N68" s="80">
        <f>SUM(I68+K68+M68)</f>
        <v>7269518.2299999995</v>
      </c>
      <c r="P68" t="str">
        <f t="shared" si="8"/>
        <v>-</v>
      </c>
      <c r="Q68" t="str">
        <f>IFERROR(VLOOKUP($P68,'Short Crosswalk'!$A$1:$G$29,4,0),"")</f>
        <v/>
      </c>
      <c r="R68" t="str">
        <f>IFERROR(VLOOKUP($P68,'Short Crosswalk'!$A$1:$G$29,7,0),"")</f>
        <v/>
      </c>
      <c r="S68" t="str">
        <f t="shared" si="9"/>
        <v xml:space="preserve"> </v>
      </c>
      <c r="T68" t="str">
        <f t="shared" si="10"/>
        <v/>
      </c>
    </row>
    <row r="69" spans="1:20" ht="20.45">
      <c r="A69" s="103"/>
      <c r="B69" s="91" t="s">
        <v>107</v>
      </c>
      <c r="C69" s="72" t="str">
        <f t="shared" ref="C69:D72" si="19">Q69</f>
        <v>Teachers</v>
      </c>
      <c r="D69" s="72" t="str">
        <f t="shared" si="19"/>
        <v>01-Professional Salaries</v>
      </c>
      <c r="E69" s="57" t="s">
        <v>41</v>
      </c>
      <c r="F69" s="57" t="s">
        <v>44</v>
      </c>
      <c r="G69" s="59" t="s">
        <v>108</v>
      </c>
      <c r="H69" s="27">
        <v>46</v>
      </c>
      <c r="I69" s="74">
        <f>3240098+22705</f>
        <v>3262803</v>
      </c>
      <c r="J69" s="27">
        <v>46</v>
      </c>
      <c r="K69" s="74">
        <f>3240098+22705</f>
        <v>3262803</v>
      </c>
      <c r="L69" s="27">
        <v>46</v>
      </c>
      <c r="M69" s="74">
        <f>3240098+22705</f>
        <v>3262803</v>
      </c>
      <c r="N69" t="s">
        <v>109</v>
      </c>
      <c r="P69" t="str">
        <f t="shared" ref="P69:P93" si="20">_xlfn.CONCAT(F69,"-",E69)</f>
        <v>Classroom &amp; Specialist Teachers-Salaries - Instructional</v>
      </c>
      <c r="Q69" t="str">
        <f>IFERROR(VLOOKUP($P69,'Short Crosswalk'!$A$1:$G$29,4,0),"")</f>
        <v>Teachers</v>
      </c>
      <c r="R69" t="str">
        <f>IFERROR(VLOOKUP($P69,'Short Crosswalk'!$A$1:$G$29,7,0),"")</f>
        <v>01-Professional Salaries</v>
      </c>
      <c r="S69" t="str">
        <f t="shared" ref="S69:S93" si="21">_xlfn.CONCAT(Q69," ", R69)</f>
        <v>Teachers 01-Professional Salaries</v>
      </c>
      <c r="T69">
        <f t="shared" ref="T69:T93" si="22">IFERROR(VALUE(LEFT(D69,2)),"")</f>
        <v>1</v>
      </c>
    </row>
    <row r="70" spans="1:20" ht="30.6">
      <c r="A70" s="103"/>
      <c r="B70" s="91"/>
      <c r="C70" s="72" t="str">
        <f t="shared" si="19"/>
        <v>Professional Development</v>
      </c>
      <c r="D70" s="72" t="str">
        <f t="shared" si="19"/>
        <v>04-Contracted Services</v>
      </c>
      <c r="E70" s="57" t="s">
        <v>26</v>
      </c>
      <c r="F70" s="57" t="s">
        <v>32</v>
      </c>
      <c r="G70" s="59" t="s">
        <v>110</v>
      </c>
      <c r="H70" s="28"/>
      <c r="I70" s="74">
        <v>0</v>
      </c>
      <c r="J70" s="28"/>
      <c r="K70" s="74">
        <f t="shared" ref="K70:K72" si="23">I70*1.05</f>
        <v>0</v>
      </c>
      <c r="L70" s="28"/>
      <c r="M70" s="74">
        <f t="shared" ref="M70:M72" si="24">K70*1.05</f>
        <v>0</v>
      </c>
      <c r="N70" t="s">
        <v>28</v>
      </c>
      <c r="P70" t="str">
        <f t="shared" si="20"/>
        <v>Professional Development-Contractual Services</v>
      </c>
      <c r="Q70" t="str">
        <f>IFERROR(VLOOKUP($P70,'Short Crosswalk'!$A$1:$G$29,4,0),"")</f>
        <v>Professional Development</v>
      </c>
      <c r="R70" t="str">
        <f>IFERROR(VLOOKUP($P70,'Short Crosswalk'!$A$1:$G$29,7,0),"")</f>
        <v>04-Contracted Services</v>
      </c>
      <c r="S70" t="str">
        <f t="shared" si="21"/>
        <v>Professional Development 04-Contracted Services</v>
      </c>
      <c r="T70">
        <f t="shared" si="22"/>
        <v>4</v>
      </c>
    </row>
    <row r="71" spans="1:20" ht="40.9">
      <c r="A71" s="103"/>
      <c r="B71" s="91"/>
      <c r="C71" s="72" t="str">
        <f t="shared" si="19"/>
        <v xml:space="preserve">Instructional Materials, Equipment and Technology </v>
      </c>
      <c r="D71" s="72" t="str">
        <f t="shared" si="19"/>
        <v>05-Supplies and Materials</v>
      </c>
      <c r="E71" s="57" t="s">
        <v>29</v>
      </c>
      <c r="F71" s="57" t="s">
        <v>30</v>
      </c>
      <c r="G71" s="59" t="s">
        <v>111</v>
      </c>
      <c r="H71" s="28"/>
      <c r="I71" s="74">
        <v>128319</v>
      </c>
      <c r="J71" s="28"/>
      <c r="K71" s="74">
        <f t="shared" si="23"/>
        <v>134734.95000000001</v>
      </c>
      <c r="L71" s="28"/>
      <c r="M71" s="74">
        <f t="shared" si="24"/>
        <v>141471.69750000001</v>
      </c>
      <c r="N71" t="s">
        <v>28</v>
      </c>
      <c r="P71" t="str">
        <f t="shared" si="20"/>
        <v>Instructional Materials, Equip., and Tech.-Supplies and Materials</v>
      </c>
      <c r="Q71" t="str">
        <f>IFERROR(VLOOKUP($P71,'Short Crosswalk'!$A$1:$G$29,4,0),"")</f>
        <v xml:space="preserve">Instructional Materials, Equipment and Technology </v>
      </c>
      <c r="R71" t="str">
        <f>IFERROR(VLOOKUP($P71,'Short Crosswalk'!$A$1:$G$29,7,0),"")</f>
        <v>05-Supplies and Materials</v>
      </c>
      <c r="S71" t="str">
        <f t="shared" si="21"/>
        <v>Instructional Materials, Equipment and Technology  05-Supplies and Materials</v>
      </c>
      <c r="T71">
        <f t="shared" si="22"/>
        <v>5</v>
      </c>
    </row>
    <row r="72" spans="1:20" ht="20.45">
      <c r="A72" s="103"/>
      <c r="B72" s="91"/>
      <c r="C72" s="72" t="str">
        <f t="shared" si="19"/>
        <v xml:space="preserve">Benefits and Fixed Charges </v>
      </c>
      <c r="D72" s="72" t="str">
        <f t="shared" si="19"/>
        <v>04-Contracted Services</v>
      </c>
      <c r="E72" s="57" t="s">
        <v>26</v>
      </c>
      <c r="F72" s="57" t="s">
        <v>36</v>
      </c>
      <c r="G72" s="59" t="s">
        <v>37</v>
      </c>
      <c r="H72" s="28"/>
      <c r="I72" s="75">
        <v>810024</v>
      </c>
      <c r="J72" s="28"/>
      <c r="K72" s="74">
        <f t="shared" si="23"/>
        <v>850525.20000000007</v>
      </c>
      <c r="L72" s="28"/>
      <c r="M72" s="74">
        <f t="shared" si="24"/>
        <v>893051.46000000008</v>
      </c>
      <c r="N72" t="s">
        <v>28</v>
      </c>
      <c r="P72" t="str">
        <f t="shared" si="20"/>
        <v>Benefits and Fixed Charges -Contractual Services</v>
      </c>
      <c r="Q72" t="str">
        <f>IFERROR(VLOOKUP($P72,'Short Crosswalk'!$A$1:$G$29,4,0),"")</f>
        <v xml:space="preserve">Benefits and Fixed Charges </v>
      </c>
      <c r="R72" t="str">
        <f>IFERROR(VLOOKUP($P72,'Short Crosswalk'!$A$1:$G$29,7,0),"")</f>
        <v>04-Contracted Services</v>
      </c>
      <c r="S72" t="str">
        <f t="shared" si="21"/>
        <v>Benefits and Fixed Charges  04-Contracted Services</v>
      </c>
      <c r="T72">
        <f t="shared" si="22"/>
        <v>4</v>
      </c>
    </row>
    <row r="73" spans="1:20" ht="13.5" customHeight="1">
      <c r="A73" s="103"/>
      <c r="B73" s="61"/>
      <c r="C73" s="73"/>
      <c r="D73" s="73"/>
      <c r="E73" s="62"/>
      <c r="F73" s="62"/>
      <c r="G73" s="63" t="s">
        <v>38</v>
      </c>
      <c r="H73" s="29">
        <f>H69</f>
        <v>46</v>
      </c>
      <c r="I73" s="76">
        <f>SUM(I69:I72)</f>
        <v>4201146</v>
      </c>
      <c r="J73" s="29">
        <f>J69</f>
        <v>46</v>
      </c>
      <c r="K73" s="76">
        <f>SUM(K69:K72)</f>
        <v>4248063.1500000004</v>
      </c>
      <c r="L73" s="29">
        <f>L69</f>
        <v>46</v>
      </c>
      <c r="M73" s="76">
        <f>SUM(M69:M72)</f>
        <v>4297326.1574999997</v>
      </c>
      <c r="N73" s="80">
        <f>SUM(I73+K73+M73)</f>
        <v>12746535.307500001</v>
      </c>
      <c r="P73" t="str">
        <f t="shared" si="20"/>
        <v>-</v>
      </c>
      <c r="Q73" t="str">
        <f>IFERROR(VLOOKUP($P73,'Short Crosswalk'!$A$1:$G$29,4,0),"")</f>
        <v/>
      </c>
      <c r="R73" t="str">
        <f>IFERROR(VLOOKUP($P73,'Short Crosswalk'!$A$1:$G$29,7,0),"")</f>
        <v/>
      </c>
      <c r="S73" t="str">
        <f t="shared" si="21"/>
        <v xml:space="preserve"> </v>
      </c>
      <c r="T73" t="str">
        <f t="shared" si="22"/>
        <v/>
      </c>
    </row>
    <row r="74" spans="1:20" ht="20.45">
      <c r="A74" s="103"/>
      <c r="B74" s="91" t="s">
        <v>112</v>
      </c>
      <c r="C74" s="72" t="str">
        <f t="shared" ref="C74:D76" si="25">Q74</f>
        <v>Teachers</v>
      </c>
      <c r="D74" s="72" t="str">
        <f t="shared" si="25"/>
        <v>01-Professional Salaries</v>
      </c>
      <c r="E74" s="57" t="s">
        <v>41</v>
      </c>
      <c r="F74" s="57" t="s">
        <v>44</v>
      </c>
      <c r="G74" s="59" t="s">
        <v>113</v>
      </c>
      <c r="H74" s="27">
        <v>38</v>
      </c>
      <c r="I74" s="74">
        <v>2661496</v>
      </c>
      <c r="J74" s="27">
        <v>38</v>
      </c>
      <c r="K74" s="74">
        <v>2662296</v>
      </c>
      <c r="L74" s="27">
        <v>38</v>
      </c>
      <c r="M74" s="74">
        <v>2662296</v>
      </c>
      <c r="P74" t="str">
        <f t="shared" si="20"/>
        <v>Classroom &amp; Specialist Teachers-Salaries - Instructional</v>
      </c>
      <c r="Q74" t="str">
        <f>IFERROR(VLOOKUP($P74,'Short Crosswalk'!$A$1:$G$29,4,0),"")</f>
        <v>Teachers</v>
      </c>
      <c r="R74" t="str">
        <f>IFERROR(VLOOKUP($P74,'Short Crosswalk'!$A$1:$G$29,7,0),"")</f>
        <v>01-Professional Salaries</v>
      </c>
      <c r="S74" t="str">
        <f t="shared" si="21"/>
        <v>Teachers 01-Professional Salaries</v>
      </c>
      <c r="T74">
        <f t="shared" si="22"/>
        <v>1</v>
      </c>
    </row>
    <row r="75" spans="1:20" ht="40.9">
      <c r="A75" s="103"/>
      <c r="B75" s="91"/>
      <c r="C75" s="72" t="str">
        <f t="shared" si="25"/>
        <v xml:space="preserve">Instructional Materials, Equipment and Technology </v>
      </c>
      <c r="D75" s="72" t="str">
        <f t="shared" si="25"/>
        <v>05-Supplies and Materials</v>
      </c>
      <c r="E75" s="57" t="s">
        <v>29</v>
      </c>
      <c r="F75" s="57" t="s">
        <v>30</v>
      </c>
      <c r="G75" s="59" t="s">
        <v>114</v>
      </c>
      <c r="H75" s="28"/>
      <c r="I75" s="74">
        <v>211243</v>
      </c>
      <c r="J75" s="28"/>
      <c r="K75" s="74">
        <f t="shared" ref="K75:K76" si="26">I75*1.05</f>
        <v>221805.15000000002</v>
      </c>
      <c r="L75" s="28"/>
      <c r="M75" s="74">
        <f t="shared" ref="M75:M76" si="27">K75*1.05</f>
        <v>232895.40750000003</v>
      </c>
      <c r="N75" t="s">
        <v>28</v>
      </c>
      <c r="P75" t="str">
        <f t="shared" si="20"/>
        <v>Instructional Materials, Equip., and Tech.-Supplies and Materials</v>
      </c>
      <c r="Q75" t="str">
        <f>IFERROR(VLOOKUP($P75,'Short Crosswalk'!$A$1:$G$29,4,0),"")</f>
        <v xml:space="preserve">Instructional Materials, Equipment and Technology </v>
      </c>
      <c r="R75" t="str">
        <f>IFERROR(VLOOKUP($P75,'Short Crosswalk'!$A$1:$G$29,7,0),"")</f>
        <v>05-Supplies and Materials</v>
      </c>
      <c r="S75" t="str">
        <f t="shared" si="21"/>
        <v>Instructional Materials, Equipment and Technology  05-Supplies and Materials</v>
      </c>
      <c r="T75">
        <f t="shared" si="22"/>
        <v>5</v>
      </c>
    </row>
    <row r="76" spans="1:20" ht="20.45">
      <c r="A76" s="103"/>
      <c r="B76" s="91"/>
      <c r="C76" s="72" t="str">
        <f t="shared" si="25"/>
        <v xml:space="preserve">Benefits and Fixed Charges </v>
      </c>
      <c r="D76" s="72" t="str">
        <f t="shared" si="25"/>
        <v>04-Contracted Services</v>
      </c>
      <c r="E76" s="57" t="s">
        <v>26</v>
      </c>
      <c r="F76" s="57" t="s">
        <v>36</v>
      </c>
      <c r="G76" s="59" t="s">
        <v>37</v>
      </c>
      <c r="H76" s="28"/>
      <c r="I76" s="75">
        <v>659300</v>
      </c>
      <c r="J76" s="28"/>
      <c r="K76" s="74">
        <f t="shared" si="26"/>
        <v>692265</v>
      </c>
      <c r="L76" s="28"/>
      <c r="M76" s="74">
        <f t="shared" si="27"/>
        <v>726878.25</v>
      </c>
      <c r="N76" t="s">
        <v>28</v>
      </c>
      <c r="P76" t="str">
        <f t="shared" si="20"/>
        <v>Benefits and Fixed Charges -Contractual Services</v>
      </c>
      <c r="Q76" t="str">
        <f>IFERROR(VLOOKUP($P76,'Short Crosswalk'!$A$1:$G$29,4,0),"")</f>
        <v xml:space="preserve">Benefits and Fixed Charges </v>
      </c>
      <c r="R76" t="str">
        <f>IFERROR(VLOOKUP($P76,'Short Crosswalk'!$A$1:$G$29,7,0),"")</f>
        <v>04-Contracted Services</v>
      </c>
      <c r="S76" t="str">
        <f t="shared" si="21"/>
        <v>Benefits and Fixed Charges  04-Contracted Services</v>
      </c>
      <c r="T76">
        <f t="shared" si="22"/>
        <v>4</v>
      </c>
    </row>
    <row r="77" spans="1:20" ht="13.5" customHeight="1">
      <c r="A77" s="60"/>
      <c r="B77" s="61"/>
      <c r="C77" s="73"/>
      <c r="D77" s="73"/>
      <c r="E77" s="62"/>
      <c r="F77" s="62"/>
      <c r="G77" s="63" t="s">
        <v>38</v>
      </c>
      <c r="H77" s="29">
        <f>H74</f>
        <v>38</v>
      </c>
      <c r="I77" s="76">
        <f>SUM(I74:I76)</f>
        <v>3532039</v>
      </c>
      <c r="J77" s="29">
        <f>J74</f>
        <v>38</v>
      </c>
      <c r="K77" s="76">
        <f>SUM(K74:K76)</f>
        <v>3576366.15</v>
      </c>
      <c r="L77" s="29">
        <f>L74</f>
        <v>38</v>
      </c>
      <c r="M77" s="76">
        <f>SUM(M74:M76)</f>
        <v>3622069.6575000002</v>
      </c>
      <c r="N77" s="80">
        <f>SUM(I77+K77+M77)</f>
        <v>10730474.807500001</v>
      </c>
      <c r="P77" t="str">
        <f t="shared" si="20"/>
        <v>-</v>
      </c>
      <c r="Q77" t="str">
        <f>IFERROR(VLOOKUP($P77,'Short Crosswalk'!$A$1:$G$29,4,0),"")</f>
        <v/>
      </c>
      <c r="R77" t="str">
        <f>IFERROR(VLOOKUP($P77,'Short Crosswalk'!$A$1:$G$29,7,0),"")</f>
        <v/>
      </c>
      <c r="S77" t="str">
        <f t="shared" si="21"/>
        <v xml:space="preserve"> </v>
      </c>
      <c r="T77" t="str">
        <f t="shared" si="22"/>
        <v/>
      </c>
    </row>
    <row r="78" spans="1:20" ht="20.45">
      <c r="A78" s="98" t="s">
        <v>115</v>
      </c>
      <c r="B78" s="91" t="s">
        <v>116</v>
      </c>
      <c r="C78" s="72" t="str">
        <f t="shared" ref="C78:D81" si="28">Q78</f>
        <v>Administration</v>
      </c>
      <c r="D78" s="72" t="str">
        <f t="shared" si="28"/>
        <v>01-Professional Salaries</v>
      </c>
      <c r="E78" s="57" t="s">
        <v>94</v>
      </c>
      <c r="F78" s="57" t="s">
        <v>95</v>
      </c>
      <c r="G78" s="59" t="s">
        <v>117</v>
      </c>
      <c r="H78" s="27">
        <v>1</v>
      </c>
      <c r="I78" s="74">
        <v>131840</v>
      </c>
      <c r="J78" s="27">
        <v>1</v>
      </c>
      <c r="K78" s="74">
        <v>131840</v>
      </c>
      <c r="L78" s="27">
        <v>1</v>
      </c>
      <c r="M78" s="74">
        <v>131840</v>
      </c>
      <c r="P78" t="str">
        <f t="shared" si="20"/>
        <v>Administration-Salaries - Administrator</v>
      </c>
      <c r="Q78" t="str">
        <f>IFERROR(VLOOKUP($P78,'Short Crosswalk'!$A$1:$G$29,4,0),"")</f>
        <v>Administration</v>
      </c>
      <c r="R78" t="str">
        <f>IFERROR(VLOOKUP($P78,'Short Crosswalk'!$A$1:$G$29,7,0),"")</f>
        <v>01-Professional Salaries</v>
      </c>
      <c r="S78" t="str">
        <f t="shared" si="21"/>
        <v>Administration 01-Professional Salaries</v>
      </c>
      <c r="T78">
        <f t="shared" si="22"/>
        <v>1</v>
      </c>
    </row>
    <row r="79" spans="1:20" ht="20.45">
      <c r="A79" s="98"/>
      <c r="B79" s="91"/>
      <c r="C79" s="72" t="str">
        <f t="shared" si="28"/>
        <v>Other Teaching Services</v>
      </c>
      <c r="D79" s="72" t="str">
        <f t="shared" si="28"/>
        <v>04-Contracted Services</v>
      </c>
      <c r="E79" s="57" t="s">
        <v>26</v>
      </c>
      <c r="F79" s="57" t="s">
        <v>79</v>
      </c>
      <c r="G79" s="59" t="s">
        <v>118</v>
      </c>
      <c r="H79" s="28"/>
      <c r="I79" s="74">
        <v>222920</v>
      </c>
      <c r="J79" s="28"/>
      <c r="K79" s="74">
        <f t="shared" ref="K79" si="29">I79*1.05</f>
        <v>234066</v>
      </c>
      <c r="L79" s="28"/>
      <c r="M79" s="74">
        <f t="shared" ref="M79" si="30">K79*1.05</f>
        <v>245769.30000000002</v>
      </c>
      <c r="N79" t="s">
        <v>28</v>
      </c>
      <c r="P79" t="str">
        <f t="shared" si="20"/>
        <v>Other Teaching Services-Contractual Services</v>
      </c>
      <c r="Q79" t="str">
        <f>IFERROR(VLOOKUP($P79,'Short Crosswalk'!$A$1:$G$29,4,0),"")</f>
        <v>Other Teaching Services</v>
      </c>
      <c r="R79" t="str">
        <f>IFERROR(VLOOKUP($P79,'Short Crosswalk'!$A$1:$G$29,7,0),"")</f>
        <v>04-Contracted Services</v>
      </c>
      <c r="S79" t="str">
        <f t="shared" si="21"/>
        <v>Other Teaching Services 04-Contracted Services</v>
      </c>
      <c r="T79">
        <f t="shared" si="22"/>
        <v>4</v>
      </c>
    </row>
    <row r="80" spans="1:20" ht="30.6">
      <c r="A80" s="98"/>
      <c r="B80" s="91"/>
      <c r="C80" s="72" t="str">
        <f t="shared" si="28"/>
        <v>Teachers</v>
      </c>
      <c r="D80" s="72" t="str">
        <f t="shared" si="28"/>
        <v>06-Other Expenses</v>
      </c>
      <c r="E80" s="57" t="s">
        <v>90</v>
      </c>
      <c r="F80" s="57" t="s">
        <v>44</v>
      </c>
      <c r="G80" s="59" t="s">
        <v>119</v>
      </c>
      <c r="H80" s="28"/>
      <c r="I80" s="74">
        <v>75000</v>
      </c>
      <c r="J80" s="28"/>
      <c r="K80" s="74">
        <v>75000</v>
      </c>
      <c r="L80" s="28"/>
      <c r="M80" s="74">
        <v>75000</v>
      </c>
      <c r="P80" t="str">
        <f t="shared" si="20"/>
        <v>Classroom &amp; Specialist Teachers-Other</v>
      </c>
      <c r="Q80" t="str">
        <f>IFERROR(VLOOKUP($P80,'Short Crosswalk'!$A$1:$G$29,4,0),"")</f>
        <v>Teachers</v>
      </c>
      <c r="R80" t="str">
        <f>IFERROR(VLOOKUP($P80,'Short Crosswalk'!$A$1:$G$29,7,0),"")</f>
        <v>06-Other Expenses</v>
      </c>
      <c r="S80" t="str">
        <f t="shared" si="21"/>
        <v>Teachers 06-Other Expenses</v>
      </c>
      <c r="T80">
        <f t="shared" si="22"/>
        <v>6</v>
      </c>
    </row>
    <row r="81" spans="1:20" ht="20.45">
      <c r="A81" s="98"/>
      <c r="B81" s="91"/>
      <c r="C81" s="72" t="str">
        <f t="shared" si="28"/>
        <v xml:space="preserve">Benefits and Fixed Charges </v>
      </c>
      <c r="D81" s="72" t="str">
        <f t="shared" si="28"/>
        <v>04-Contracted Services</v>
      </c>
      <c r="E81" s="57" t="s">
        <v>26</v>
      </c>
      <c r="F81" s="57" t="s">
        <v>36</v>
      </c>
      <c r="G81" s="59" t="s">
        <v>37</v>
      </c>
      <c r="H81" s="28"/>
      <c r="I81" s="75">
        <v>32960</v>
      </c>
      <c r="J81" s="28"/>
      <c r="K81" s="74">
        <f t="shared" ref="K81" si="31">I81*1.05</f>
        <v>34608</v>
      </c>
      <c r="L81" s="28"/>
      <c r="M81" s="74">
        <f t="shared" ref="M81" si="32">K81*1.05</f>
        <v>36338.400000000001</v>
      </c>
      <c r="N81" t="s">
        <v>28</v>
      </c>
      <c r="P81" t="str">
        <f t="shared" si="20"/>
        <v>Benefits and Fixed Charges -Contractual Services</v>
      </c>
      <c r="Q81" t="str">
        <f>IFERROR(VLOOKUP($P81,'Short Crosswalk'!$A$1:$G$29,4,0),"")</f>
        <v xml:space="preserve">Benefits and Fixed Charges </v>
      </c>
      <c r="R81" t="str">
        <f>IFERROR(VLOOKUP($P81,'Short Crosswalk'!$A$1:$G$29,7,0),"")</f>
        <v>04-Contracted Services</v>
      </c>
      <c r="S81" t="str">
        <f t="shared" si="21"/>
        <v>Benefits and Fixed Charges  04-Contracted Services</v>
      </c>
      <c r="T81">
        <f t="shared" si="22"/>
        <v>4</v>
      </c>
    </row>
    <row r="82" spans="1:20" ht="13.5" customHeight="1">
      <c r="A82" s="60"/>
      <c r="B82" s="61"/>
      <c r="C82" s="73"/>
      <c r="D82" s="73"/>
      <c r="E82" s="62"/>
      <c r="F82" s="62"/>
      <c r="G82" s="63" t="s">
        <v>38</v>
      </c>
      <c r="H82" s="29">
        <f>H78</f>
        <v>1</v>
      </c>
      <c r="I82" s="76">
        <f>SUM(I78:I81)</f>
        <v>462720</v>
      </c>
      <c r="J82" s="29">
        <f>J78</f>
        <v>1</v>
      </c>
      <c r="K82" s="76">
        <f>SUM(K78:K81)</f>
        <v>475514</v>
      </c>
      <c r="L82" s="29">
        <f>L78</f>
        <v>1</v>
      </c>
      <c r="M82" s="76">
        <f>SUM(M78:M81)</f>
        <v>488947.70000000007</v>
      </c>
      <c r="N82" s="80">
        <f>SUM(I82+K82+M82)</f>
        <v>1427181.7000000002</v>
      </c>
      <c r="P82" t="str">
        <f t="shared" si="20"/>
        <v>-</v>
      </c>
      <c r="Q82" t="str">
        <f>IFERROR(VLOOKUP($P82,'Short Crosswalk'!$A$1:$G$29,4,0),"")</f>
        <v/>
      </c>
      <c r="R82" t="str">
        <f>IFERROR(VLOOKUP($P82,'Short Crosswalk'!$A$1:$G$29,7,0),"")</f>
        <v/>
      </c>
      <c r="S82" t="str">
        <f t="shared" si="21"/>
        <v xml:space="preserve"> </v>
      </c>
      <c r="T82" t="str">
        <f t="shared" si="22"/>
        <v/>
      </c>
    </row>
    <row r="83" spans="1:20" ht="20.45">
      <c r="A83" s="98" t="s">
        <v>120</v>
      </c>
      <c r="B83" s="91" t="s">
        <v>121</v>
      </c>
      <c r="C83" s="72" t="str">
        <f t="shared" ref="C83:D85" si="33">Q83</f>
        <v>Professional Development</v>
      </c>
      <c r="D83" s="72" t="str">
        <f t="shared" si="33"/>
        <v>04-Contracted Services</v>
      </c>
      <c r="E83" s="57" t="s">
        <v>26</v>
      </c>
      <c r="F83" s="57" t="s">
        <v>32</v>
      </c>
      <c r="G83" s="59" t="s">
        <v>122</v>
      </c>
      <c r="H83" s="28"/>
      <c r="I83" s="74">
        <v>0</v>
      </c>
      <c r="J83" s="28"/>
      <c r="K83" s="74">
        <v>0</v>
      </c>
      <c r="L83" s="28"/>
      <c r="M83" s="74">
        <v>0</v>
      </c>
      <c r="P83" t="str">
        <f t="shared" si="20"/>
        <v>Professional Development-Contractual Services</v>
      </c>
      <c r="Q83" t="str">
        <f>IFERROR(VLOOKUP($P83,'Short Crosswalk'!$A$1:$G$29,4,0),"")</f>
        <v>Professional Development</v>
      </c>
      <c r="R83" t="str">
        <f>IFERROR(VLOOKUP($P83,'Short Crosswalk'!$A$1:$G$29,7,0),"")</f>
        <v>04-Contracted Services</v>
      </c>
      <c r="S83" t="str">
        <f t="shared" si="21"/>
        <v>Professional Development 04-Contracted Services</v>
      </c>
      <c r="T83">
        <f t="shared" si="22"/>
        <v>4</v>
      </c>
    </row>
    <row r="84" spans="1:20" ht="20.45">
      <c r="A84" s="98"/>
      <c r="B84" s="91"/>
      <c r="C84" s="72" t="str">
        <f t="shared" si="33"/>
        <v>Teachers</v>
      </c>
      <c r="D84" s="72" t="str">
        <f t="shared" si="33"/>
        <v>01-Professional Salaries</v>
      </c>
      <c r="E84" s="57" t="s">
        <v>53</v>
      </c>
      <c r="F84" s="57" t="s">
        <v>44</v>
      </c>
      <c r="G84" s="59" t="s">
        <v>123</v>
      </c>
      <c r="H84" s="28"/>
      <c r="I84" s="74">
        <v>295663</v>
      </c>
      <c r="J84" s="28"/>
      <c r="K84" s="74">
        <v>295663</v>
      </c>
      <c r="L84" s="28"/>
      <c r="M84" s="74">
        <v>295663</v>
      </c>
      <c r="P84" t="str">
        <f t="shared" si="20"/>
        <v>Classroom &amp; Specialist Teachers-Stipends</v>
      </c>
      <c r="Q84" t="str">
        <f>IFERROR(VLOOKUP($P84,'Short Crosswalk'!$A$1:$G$29,4,0),"")</f>
        <v>Teachers</v>
      </c>
      <c r="R84" t="str">
        <f>IFERROR(VLOOKUP($P84,'Short Crosswalk'!$A$1:$G$29,7,0),"")</f>
        <v>01-Professional Salaries</v>
      </c>
      <c r="S84" t="str">
        <f t="shared" si="21"/>
        <v>Teachers 01-Professional Salaries</v>
      </c>
      <c r="T84">
        <f t="shared" si="22"/>
        <v>1</v>
      </c>
    </row>
    <row r="85" spans="1:20" ht="32.65" customHeight="1">
      <c r="A85" s="98"/>
      <c r="B85" s="91"/>
      <c r="C85" s="72" t="str">
        <f t="shared" si="33"/>
        <v>Teachers</v>
      </c>
      <c r="D85" s="72" t="str">
        <f t="shared" si="33"/>
        <v>06-Other Expenses</v>
      </c>
      <c r="E85" s="57" t="s">
        <v>90</v>
      </c>
      <c r="F85" s="57" t="s">
        <v>44</v>
      </c>
      <c r="G85" s="59" t="s">
        <v>124</v>
      </c>
      <c r="H85" s="28"/>
      <c r="I85" s="74">
        <v>0</v>
      </c>
      <c r="J85" s="28"/>
      <c r="K85" s="74">
        <v>0</v>
      </c>
      <c r="L85" s="28"/>
      <c r="M85" s="74">
        <v>0</v>
      </c>
      <c r="P85" t="str">
        <f t="shared" si="20"/>
        <v>Classroom &amp; Specialist Teachers-Other</v>
      </c>
      <c r="Q85" t="str">
        <f>IFERROR(VLOOKUP($P85,'Short Crosswalk'!$A$1:$G$29,4,0),"")</f>
        <v>Teachers</v>
      </c>
      <c r="R85" t="str">
        <f>IFERROR(VLOOKUP($P85,'Short Crosswalk'!$A$1:$G$29,7,0),"")</f>
        <v>06-Other Expenses</v>
      </c>
      <c r="S85" t="str">
        <f t="shared" si="21"/>
        <v>Teachers 06-Other Expenses</v>
      </c>
      <c r="T85">
        <f t="shared" si="22"/>
        <v>6</v>
      </c>
    </row>
    <row r="86" spans="1:20" ht="13.5" customHeight="1">
      <c r="A86" s="60"/>
      <c r="B86" s="61"/>
      <c r="C86" s="73"/>
      <c r="D86" s="73"/>
      <c r="E86" s="62"/>
      <c r="F86" s="62"/>
      <c r="G86" s="63" t="s">
        <v>38</v>
      </c>
      <c r="H86" s="29"/>
      <c r="I86" s="76">
        <f>SUM(I83:I85)</f>
        <v>295663</v>
      </c>
      <c r="J86" s="29"/>
      <c r="K86" s="76">
        <f>SUM(K83:K85)</f>
        <v>295663</v>
      </c>
      <c r="L86" s="29"/>
      <c r="M86" s="76">
        <f>SUM(M83:M85)</f>
        <v>295663</v>
      </c>
      <c r="N86" s="80">
        <f>SUM(I86+K86+M86)</f>
        <v>886989</v>
      </c>
      <c r="P86" t="str">
        <f t="shared" si="20"/>
        <v>-</v>
      </c>
      <c r="Q86" t="str">
        <f>IFERROR(VLOOKUP($P86,'Short Crosswalk'!$A$1:$G$29,4,0),"")</f>
        <v/>
      </c>
      <c r="R86" t="str">
        <f>IFERROR(VLOOKUP($P86,'Short Crosswalk'!$A$1:$G$29,7,0),"")</f>
        <v/>
      </c>
      <c r="S86" t="str">
        <f t="shared" si="21"/>
        <v xml:space="preserve"> </v>
      </c>
      <c r="T86" t="str">
        <f t="shared" si="22"/>
        <v/>
      </c>
    </row>
    <row r="87" spans="1:20" ht="30.6">
      <c r="A87" s="105" t="s">
        <v>125</v>
      </c>
      <c r="B87" s="106" t="s">
        <v>126</v>
      </c>
      <c r="C87" s="72" t="str">
        <f t="shared" ref="C87:D90" si="34">Q87</f>
        <v>Administration</v>
      </c>
      <c r="D87" s="72" t="str">
        <f t="shared" si="34"/>
        <v>01-Professional Salaries</v>
      </c>
      <c r="E87" s="57" t="s">
        <v>94</v>
      </c>
      <c r="F87" s="57" t="s">
        <v>95</v>
      </c>
      <c r="G87" s="59" t="s">
        <v>127</v>
      </c>
      <c r="H87" s="27">
        <v>1.5</v>
      </c>
      <c r="I87" s="74">
        <v>187563</v>
      </c>
      <c r="J87" s="27">
        <v>1.5</v>
      </c>
      <c r="K87" s="74">
        <v>187563</v>
      </c>
      <c r="L87" s="27">
        <v>1.5</v>
      </c>
      <c r="M87" s="74">
        <v>187563</v>
      </c>
      <c r="P87" t="str">
        <f t="shared" si="20"/>
        <v>Administration-Salaries - Administrator</v>
      </c>
      <c r="Q87" t="str">
        <f>IFERROR(VLOOKUP($P87,'Short Crosswalk'!$A$1:$G$29,4,0),"")</f>
        <v>Administration</v>
      </c>
      <c r="R87" t="str">
        <f>IFERROR(VLOOKUP($P87,'Short Crosswalk'!$A$1:$G$29,7,0),"")</f>
        <v>01-Professional Salaries</v>
      </c>
      <c r="S87" t="str">
        <f t="shared" si="21"/>
        <v>Administration 01-Professional Salaries</v>
      </c>
      <c r="T87">
        <f t="shared" si="22"/>
        <v>1</v>
      </c>
    </row>
    <row r="88" spans="1:20" ht="30.6">
      <c r="A88" s="105"/>
      <c r="B88" s="106"/>
      <c r="C88" s="72" t="str">
        <f t="shared" si="34"/>
        <v>Administration</v>
      </c>
      <c r="D88" s="72" t="str">
        <f t="shared" si="34"/>
        <v>04-Contracted Services</v>
      </c>
      <c r="E88" s="57" t="s">
        <v>26</v>
      </c>
      <c r="F88" s="57" t="s">
        <v>95</v>
      </c>
      <c r="G88" s="59" t="s">
        <v>128</v>
      </c>
      <c r="H88" s="28"/>
      <c r="I88" s="74">
        <v>100000</v>
      </c>
      <c r="J88" s="28"/>
      <c r="K88" s="74">
        <f t="shared" ref="K88" si="35">I88*1.05</f>
        <v>105000</v>
      </c>
      <c r="L88" s="28"/>
      <c r="M88" s="74">
        <f t="shared" ref="M88" si="36">K88*1.05</f>
        <v>110250</v>
      </c>
      <c r="N88" t="s">
        <v>28</v>
      </c>
      <c r="P88" t="str">
        <f t="shared" si="20"/>
        <v>Administration-Contractual Services</v>
      </c>
      <c r="Q88" t="str">
        <f>IFERROR(VLOOKUP($P88,'Short Crosswalk'!$A$1:$G$29,4,0),"")</f>
        <v>Administration</v>
      </c>
      <c r="R88" t="str">
        <f>IFERROR(VLOOKUP($P88,'Short Crosswalk'!$A$1:$G$29,7,0),"")</f>
        <v>04-Contracted Services</v>
      </c>
      <c r="S88" t="str">
        <f t="shared" si="21"/>
        <v>Administration 04-Contracted Services</v>
      </c>
      <c r="T88">
        <f t="shared" si="22"/>
        <v>4</v>
      </c>
    </row>
    <row r="89" spans="1:20" ht="20.45">
      <c r="A89" s="105"/>
      <c r="B89" s="106"/>
      <c r="C89" s="72" t="str">
        <f t="shared" si="34"/>
        <v>Teachers</v>
      </c>
      <c r="D89" s="72" t="str">
        <f t="shared" si="34"/>
        <v>01-Professional Salaries</v>
      </c>
      <c r="E89" s="57" t="s">
        <v>53</v>
      </c>
      <c r="F89" s="57" t="s">
        <v>44</v>
      </c>
      <c r="G89" s="59" t="s">
        <v>129</v>
      </c>
      <c r="H89" s="28"/>
      <c r="I89" s="74">
        <v>33000</v>
      </c>
      <c r="J89" s="28"/>
      <c r="K89" s="74">
        <v>33000</v>
      </c>
      <c r="L89" s="28"/>
      <c r="M89" s="74">
        <v>33000</v>
      </c>
      <c r="P89" t="str">
        <f t="shared" si="20"/>
        <v>Classroom &amp; Specialist Teachers-Stipends</v>
      </c>
      <c r="Q89" t="str">
        <f>IFERROR(VLOOKUP($P89,'Short Crosswalk'!$A$1:$G$29,4,0),"")</f>
        <v>Teachers</v>
      </c>
      <c r="R89" t="str">
        <f>IFERROR(VLOOKUP($P89,'Short Crosswalk'!$A$1:$G$29,7,0),"")</f>
        <v>01-Professional Salaries</v>
      </c>
      <c r="S89" t="str">
        <f t="shared" si="21"/>
        <v>Teachers 01-Professional Salaries</v>
      </c>
      <c r="T89">
        <f t="shared" si="22"/>
        <v>1</v>
      </c>
    </row>
    <row r="90" spans="1:20" ht="20.45">
      <c r="A90" s="105"/>
      <c r="B90" s="106"/>
      <c r="C90" s="72" t="str">
        <f t="shared" si="34"/>
        <v xml:space="preserve">Benefits and Fixed Charges </v>
      </c>
      <c r="D90" s="72" t="str">
        <f t="shared" si="34"/>
        <v>04-Contracted Services</v>
      </c>
      <c r="E90" s="57" t="s">
        <v>26</v>
      </c>
      <c r="F90" s="57" t="s">
        <v>36</v>
      </c>
      <c r="G90" s="59" t="s">
        <v>37</v>
      </c>
      <c r="H90" s="28"/>
      <c r="I90" s="75">
        <v>46891</v>
      </c>
      <c r="J90" s="28"/>
      <c r="K90" s="74">
        <f t="shared" ref="K90" si="37">I90*1.05</f>
        <v>49235.55</v>
      </c>
      <c r="L90" s="28"/>
      <c r="M90" s="74">
        <f t="shared" ref="M90" si="38">K90*1.05</f>
        <v>51697.327500000007</v>
      </c>
      <c r="N90" t="s">
        <v>28</v>
      </c>
      <c r="P90" t="str">
        <f t="shared" si="20"/>
        <v>Benefits and Fixed Charges -Contractual Services</v>
      </c>
      <c r="Q90" t="str">
        <f>IFERROR(VLOOKUP($P90,'Short Crosswalk'!$A$1:$G$29,4,0),"")</f>
        <v xml:space="preserve">Benefits and Fixed Charges </v>
      </c>
      <c r="R90" t="str">
        <f>IFERROR(VLOOKUP($P90,'Short Crosswalk'!$A$1:$G$29,7,0),"")</f>
        <v>04-Contracted Services</v>
      </c>
      <c r="S90" t="str">
        <f t="shared" si="21"/>
        <v>Benefits and Fixed Charges  04-Contracted Services</v>
      </c>
      <c r="T90">
        <f t="shared" si="22"/>
        <v>4</v>
      </c>
    </row>
    <row r="91" spans="1:20">
      <c r="A91" s="64"/>
      <c r="B91" s="61"/>
      <c r="C91" s="61"/>
      <c r="D91" s="61"/>
      <c r="E91" s="62"/>
      <c r="F91" s="62"/>
      <c r="G91" s="63" t="s">
        <v>38</v>
      </c>
      <c r="H91" s="29">
        <f>H87</f>
        <v>1.5</v>
      </c>
      <c r="I91" s="76">
        <f>SUM(I87:I90)</f>
        <v>367454</v>
      </c>
      <c r="J91" s="29">
        <f>J87</f>
        <v>1.5</v>
      </c>
      <c r="K91" s="76">
        <f>SUM(K87:K90)</f>
        <v>374798.55</v>
      </c>
      <c r="L91" s="29">
        <f>L87</f>
        <v>1.5</v>
      </c>
      <c r="M91" s="76">
        <f>SUM(M87:M90)</f>
        <v>382510.32750000001</v>
      </c>
      <c r="N91" s="80">
        <f>SUM(I91+K91+M91)</f>
        <v>1124762.8774999999</v>
      </c>
      <c r="P91" t="str">
        <f t="shared" si="20"/>
        <v>-</v>
      </c>
      <c r="Q91" t="str">
        <f>IFERROR(VLOOKUP($P91,'Short Crosswalk'!$A$1:$G$29,4,0),"")</f>
        <v/>
      </c>
      <c r="R91" t="str">
        <f>IFERROR(VLOOKUP($P91,'Short Crosswalk'!$A$1:$G$29,7,0),"")</f>
        <v/>
      </c>
      <c r="S91" t="str">
        <f t="shared" si="21"/>
        <v xml:space="preserve"> </v>
      </c>
      <c r="T91" t="str">
        <f t="shared" si="22"/>
        <v/>
      </c>
    </row>
    <row r="92" spans="1:20">
      <c r="A92" s="65"/>
      <c r="B92" s="81"/>
      <c r="C92" s="81"/>
      <c r="D92" s="81"/>
      <c r="E92" s="66"/>
      <c r="F92" s="66"/>
      <c r="G92" s="67"/>
      <c r="H92" s="32"/>
      <c r="I92" s="77"/>
      <c r="J92" s="32"/>
      <c r="K92" s="77"/>
      <c r="L92" s="32"/>
      <c r="M92" s="77"/>
      <c r="N92" s="33"/>
      <c r="P92" t="str">
        <f t="shared" si="20"/>
        <v>-</v>
      </c>
      <c r="Q92" t="str">
        <f>IFERROR(VLOOKUP($P92,'Short Crosswalk'!$A$1:$G$29,4,0),"")</f>
        <v/>
      </c>
      <c r="R92" t="str">
        <f>IFERROR(VLOOKUP($P92,'Short Crosswalk'!$A$1:$G$29,7,0),"")</f>
        <v/>
      </c>
      <c r="S92" t="str">
        <f t="shared" si="21"/>
        <v xml:space="preserve"> </v>
      </c>
      <c r="T92" t="str">
        <f t="shared" si="22"/>
        <v/>
      </c>
    </row>
    <row r="93" spans="1:20" ht="14.45">
      <c r="A93" s="68"/>
      <c r="B93" s="69"/>
      <c r="C93" s="69"/>
      <c r="D93" s="69"/>
      <c r="E93" s="70"/>
      <c r="F93" s="71"/>
      <c r="G93" s="71" t="s">
        <v>130</v>
      </c>
      <c r="H93" s="34">
        <f t="shared" ref="H93:M93" si="39">H86+H82+H77+H73+H68+H65+H58+H52+H46+H41+H38+H35+H28+H22+H17+H11+H91</f>
        <v>393.5</v>
      </c>
      <c r="I93" s="78">
        <f t="shared" si="39"/>
        <v>40319072</v>
      </c>
      <c r="J93" s="34">
        <f t="shared" si="39"/>
        <v>393.5</v>
      </c>
      <c r="K93" s="78">
        <f t="shared" si="39"/>
        <v>40912570.049999997</v>
      </c>
      <c r="L93" s="34">
        <f t="shared" si="39"/>
        <v>393.5</v>
      </c>
      <c r="M93" s="78">
        <f t="shared" si="39"/>
        <v>41534903.002500005</v>
      </c>
      <c r="N93" s="79">
        <f>SUM(I93+K93+M93)</f>
        <v>122766545.05250001</v>
      </c>
      <c r="O93" s="35"/>
      <c r="P93" t="str">
        <f t="shared" si="20"/>
        <v>-</v>
      </c>
      <c r="Q93" t="str">
        <f>IFERROR(VLOOKUP($P93,'Short Crosswalk'!$A$1:$G$29,4,0),"")</f>
        <v/>
      </c>
      <c r="R93" t="str">
        <f>IFERROR(VLOOKUP($P93,'Short Crosswalk'!$A$1:$G$29,7,0),"")</f>
        <v/>
      </c>
      <c r="S93" t="str">
        <f t="shared" si="21"/>
        <v xml:space="preserve"> </v>
      </c>
      <c r="T93" t="str">
        <f t="shared" si="22"/>
        <v/>
      </c>
    </row>
    <row r="94" spans="1:20">
      <c r="A94" s="36"/>
      <c r="B94" s="37"/>
      <c r="C94" s="38"/>
      <c r="D94" s="38"/>
      <c r="E94" s="36"/>
      <c r="F94" s="36"/>
      <c r="G94" s="36"/>
      <c r="H94" s="39"/>
      <c r="I94" s="40"/>
      <c r="J94" s="39"/>
      <c r="K94" s="40"/>
      <c r="L94" s="39"/>
      <c r="M94" s="40"/>
    </row>
    <row r="100" spans="2:2">
      <c r="B100" s="2" t="s">
        <v>131</v>
      </c>
    </row>
  </sheetData>
  <mergeCells count="38">
    <mergeCell ref="A78:A81"/>
    <mergeCell ref="B78:B81"/>
    <mergeCell ref="A83:A85"/>
    <mergeCell ref="B83:B85"/>
    <mergeCell ref="A87:A90"/>
    <mergeCell ref="B87:B90"/>
    <mergeCell ref="A53:A57"/>
    <mergeCell ref="B53:B57"/>
    <mergeCell ref="A59:A76"/>
    <mergeCell ref="B59:B64"/>
    <mergeCell ref="B66:B67"/>
    <mergeCell ref="B69:B72"/>
    <mergeCell ref="B74:B76"/>
    <mergeCell ref="A36:A51"/>
    <mergeCell ref="B36:B37"/>
    <mergeCell ref="B39:B40"/>
    <mergeCell ref="B42:B45"/>
    <mergeCell ref="B47:B51"/>
    <mergeCell ref="A18:A21"/>
    <mergeCell ref="B18:B21"/>
    <mergeCell ref="A23:A34"/>
    <mergeCell ref="B23:B27"/>
    <mergeCell ref="B29:B34"/>
    <mergeCell ref="N2:N3"/>
    <mergeCell ref="A5:A10"/>
    <mergeCell ref="B5:B10"/>
    <mergeCell ref="A12:A16"/>
    <mergeCell ref="B12:B16"/>
    <mergeCell ref="F2:F3"/>
    <mergeCell ref="G2:G3"/>
    <mergeCell ref="H2:I2"/>
    <mergeCell ref="J2:K2"/>
    <mergeCell ref="L2:M2"/>
    <mergeCell ref="A2:A3"/>
    <mergeCell ref="B2:B3"/>
    <mergeCell ref="C2:C3"/>
    <mergeCell ref="D2:D3"/>
    <mergeCell ref="E2:E3"/>
  </mergeCells>
  <pageMargins left="0.7" right="0.7" top="0.75" bottom="0.75" header="0.511811023622047" footer="0.511811023622047"/>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topLeftCell="A17" zoomScaleNormal="100" workbookViewId="0">
      <selection activeCell="D23" sqref="D23:H23"/>
    </sheetView>
  </sheetViews>
  <sheetFormatPr defaultColWidth="11.5703125" defaultRowHeight="13.15"/>
  <cols>
    <col min="1" max="1" width="43.5703125" customWidth="1"/>
    <col min="2" max="2" width="22.5703125" customWidth="1"/>
    <col min="7" max="7" width="15.7109375" customWidth="1"/>
    <col min="8" max="8" width="15.5703125" customWidth="1"/>
  </cols>
  <sheetData>
    <row r="1" spans="1:8" ht="15.6">
      <c r="A1" s="110" t="s">
        <v>132</v>
      </c>
      <c r="B1" s="110"/>
      <c r="C1" s="110"/>
      <c r="D1" s="110"/>
      <c r="E1" s="110"/>
      <c r="F1" s="110"/>
      <c r="G1" s="110"/>
      <c r="H1" s="110"/>
    </row>
    <row r="2" spans="1:8" ht="13.5" customHeight="1">
      <c r="A2" s="41"/>
      <c r="B2" s="42"/>
      <c r="C2" s="107" t="s">
        <v>10</v>
      </c>
      <c r="D2" s="107"/>
      <c r="E2" s="108" t="s">
        <v>11</v>
      </c>
      <c r="F2" s="108"/>
      <c r="G2" s="109" t="s">
        <v>12</v>
      </c>
      <c r="H2" s="109"/>
    </row>
    <row r="3" spans="1:8">
      <c r="A3" s="43" t="s">
        <v>133</v>
      </c>
      <c r="B3" s="44" t="s">
        <v>134</v>
      </c>
      <c r="C3" s="44" t="s">
        <v>18</v>
      </c>
      <c r="D3" s="44" t="s">
        <v>135</v>
      </c>
      <c r="E3" s="44" t="s">
        <v>18</v>
      </c>
      <c r="F3" s="44" t="s">
        <v>135</v>
      </c>
      <c r="G3" s="44" t="s">
        <v>18</v>
      </c>
      <c r="H3" s="45" t="s">
        <v>135</v>
      </c>
    </row>
    <row r="4" spans="1:8">
      <c r="A4" s="46" t="s">
        <v>95</v>
      </c>
      <c r="B4" t="s">
        <v>26</v>
      </c>
      <c r="C4" s="47">
        <f>SUMIFS(Budget!$H$5:$H$90,Budget!$F$5:$F$90,$A4,Budget!$E$5:$E$90,$B4)</f>
        <v>0</v>
      </c>
      <c r="D4" s="4">
        <f>SUMIFS(Budget!$I$5:$I$90,Budget!$F$5:$F$90,$A4,Budget!$E$5:$E$90,$B4)</f>
        <v>100000</v>
      </c>
      <c r="E4" s="47">
        <f>SUMIFS(Budget!$J$5:$J$90,Budget!$F$5:$F$90,$A4,Budget!$E$5:$E$90,$B4)</f>
        <v>0</v>
      </c>
      <c r="F4" s="4">
        <f>SUMIFS(Budget!$K$5:$K$90,Budget!$F$5:$F$90,$A4,Budget!$E$5:$E$90,$B4)</f>
        <v>105000</v>
      </c>
      <c r="G4" s="47">
        <f>SUMIFS(Budget!$L$5:$L$90,Budget!$F$5:$F$90,$A4,Budget!$E$5:$E$90,$B4)</f>
        <v>0</v>
      </c>
      <c r="H4" s="48">
        <f>SUMIFS(Budget!$M$5:$M$90,Budget!$F$5:$F$90,$A4,Budget!$E$5:$E$90,$B4)</f>
        <v>110250</v>
      </c>
    </row>
    <row r="5" spans="1:8">
      <c r="A5" s="46" t="s">
        <v>95</v>
      </c>
      <c r="B5" t="s">
        <v>94</v>
      </c>
      <c r="C5" s="47">
        <f>SUMIFS(Budget!$H$5:$H$90,Budget!$F$5:$F$90,$A5,Budget!$E$5:$E$90,$B5)</f>
        <v>3.5</v>
      </c>
      <c r="D5" s="4">
        <f>SUMIFS(Budget!$I$5:$I$90,Budget!$F$5:$F$90,$A5,Budget!$E$5:$E$90,$B5)</f>
        <v>413494</v>
      </c>
      <c r="E5" s="47">
        <f>SUMIFS(Budget!$J$5:$J$90,Budget!$F$5:$F$90,$A5,Budget!$E$5:$E$90,$B5)</f>
        <v>3.5</v>
      </c>
      <c r="F5" s="4">
        <f>SUMIFS(Budget!$K$5:$K$90,Budget!$F$5:$F$90,$A5,Budget!$E$5:$E$90,$B5)</f>
        <v>413494</v>
      </c>
      <c r="G5" s="47">
        <f>SUMIFS(Budget!$L$5:$L$90,Budget!$F$5:$F$90,$A5,Budget!$E$5:$E$90,$B5)</f>
        <v>3.5</v>
      </c>
      <c r="H5" s="48">
        <f>SUMIFS(Budget!$M$5:$M$90,Budget!$F$5:$F$90,$A5,Budget!$E$5:$E$90,$B5)</f>
        <v>413494</v>
      </c>
    </row>
    <row r="6" spans="1:8">
      <c r="A6" s="46" t="s">
        <v>44</v>
      </c>
      <c r="B6" t="s">
        <v>90</v>
      </c>
      <c r="C6" s="47">
        <f>SUMIFS(Budget!$H$5:$H$90,Budget!$F$5:$F$90,$A6,Budget!$E$5:$E$90,$B6)</f>
        <v>0</v>
      </c>
      <c r="D6" s="4">
        <f>SUMIFS(Budget!$I$5:$I$90,Budget!$F$5:$F$90,$A6,Budget!$E$5:$E$90,$B6)</f>
        <v>75000</v>
      </c>
      <c r="E6" s="47">
        <f>SUMIFS(Budget!$J$5:$J$90,Budget!$F$5:$F$90,$A6,Budget!$E$5:$E$90,$B6)</f>
        <v>0</v>
      </c>
      <c r="F6" s="4">
        <f>SUMIFS(Budget!$K$5:$K$90,Budget!$F$5:$F$90,$A6,Budget!$E$5:$E$90,$B6)</f>
        <v>75000</v>
      </c>
      <c r="G6" s="47">
        <f>SUMIFS(Budget!$L$5:$L$90,Budget!$F$5:$F$90,$A6,Budget!$E$5:$E$90,$B6)</f>
        <v>0</v>
      </c>
      <c r="H6" s="48">
        <f>SUMIFS(Budget!$M$5:$M$90,Budget!$F$5:$F$90,$A6,Budget!$E$5:$E$90,$B6)</f>
        <v>75000</v>
      </c>
    </row>
    <row r="7" spans="1:8">
      <c r="A7" s="46" t="s">
        <v>44</v>
      </c>
      <c r="B7" t="s">
        <v>41</v>
      </c>
      <c r="C7" s="47">
        <f>SUMIFS(Budget!$H$5:$H$90,Budget!$F$5:$F$90,$A7,Budget!$E$5:$E$90,$B7)</f>
        <v>224</v>
      </c>
      <c r="D7" s="4">
        <f>SUMIFS(Budget!$I$5:$I$90,Budget!$F$5:$F$90,$A7,Budget!$E$5:$E$90,$B7)</f>
        <v>14717179</v>
      </c>
      <c r="E7" s="47">
        <f>SUMIFS(Budget!$J$5:$J$90,Budget!$F$5:$F$90,$A7,Budget!$E$5:$E$90,$B7)</f>
        <v>224</v>
      </c>
      <c r="F7" s="4">
        <f>SUMIFS(Budget!$K$5:$K$90,Budget!$F$5:$F$90,$A7,Budget!$E$5:$E$90,$B7)</f>
        <v>14717979</v>
      </c>
      <c r="G7" s="47">
        <f>SUMIFS(Budget!$L$5:$L$90,Budget!$F$5:$F$90,$A7,Budget!$E$5:$E$90,$B7)</f>
        <v>224</v>
      </c>
      <c r="H7" s="48">
        <f>SUMIFS(Budget!$M$5:$M$90,Budget!$F$5:$F$90,$A7,Budget!$E$5:$E$90,$B7)</f>
        <v>14717979</v>
      </c>
    </row>
    <row r="8" spans="1:8">
      <c r="A8" s="46" t="s">
        <v>44</v>
      </c>
      <c r="B8" t="s">
        <v>53</v>
      </c>
      <c r="C8" s="47">
        <f>SUMIFS(Budget!$H$5:$H$90,Budget!$F$5:$F$90,$A8,Budget!$E$5:$E$90,$B8)</f>
        <v>0</v>
      </c>
      <c r="D8" s="4">
        <f>SUMIFS(Budget!$I$5:$I$90,Budget!$F$5:$F$90,$A8,Budget!$E$5:$E$90,$B8)</f>
        <v>2217841</v>
      </c>
      <c r="E8" s="47">
        <f>SUMIFS(Budget!$J$5:$J$90,Budget!$F$5:$F$90,$A8,Budget!$E$5:$E$90,$B8)</f>
        <v>0</v>
      </c>
      <c r="F8" s="4">
        <f>SUMIFS(Budget!$K$5:$K$90,Budget!$F$5:$F$90,$A8,Budget!$E$5:$E$90,$B8)</f>
        <v>2222166</v>
      </c>
      <c r="G8" s="47">
        <f>SUMIFS(Budget!$L$5:$L$90,Budget!$F$5:$F$90,$A8,Budget!$E$5:$E$90,$B8)</f>
        <v>0</v>
      </c>
      <c r="H8" s="48">
        <f>SUMIFS(Budget!$M$5:$M$90,Budget!$F$5:$F$90,$A8,Budget!$E$5:$E$90,$B8)</f>
        <v>2226707.25</v>
      </c>
    </row>
    <row r="9" spans="1:8">
      <c r="A9" s="46" t="s">
        <v>36</v>
      </c>
      <c r="B9" t="s">
        <v>26</v>
      </c>
      <c r="C9" s="47">
        <f>SUMIFS(Budget!$H$5:$H$90,Budget!$F$5:$F$90,$A9,Budget!$E$5:$E$90,$B9)</f>
        <v>0</v>
      </c>
      <c r="D9" s="4">
        <f>SUMIFS(Budget!$I$5:$I$90,Budget!$F$5:$F$90,$A9,Budget!$E$5:$E$90,$B9)</f>
        <v>6537880</v>
      </c>
      <c r="E9" s="47">
        <f>SUMIFS(Budget!$J$5:$J$90,Budget!$F$5:$F$90,$A9,Budget!$E$5:$E$90,$B9)</f>
        <v>0</v>
      </c>
      <c r="F9" s="4">
        <f>SUMIFS(Budget!$K$5:$K$90,Budget!$F$5:$F$90,$A9,Budget!$E$5:$E$90,$B9)</f>
        <v>6864774.0000000009</v>
      </c>
      <c r="G9" s="47">
        <f>SUMIFS(Budget!$L$5:$L$90,Budget!$F$5:$F$90,$A9,Budget!$E$5:$E$90,$B9)</f>
        <v>0</v>
      </c>
      <c r="H9" s="48">
        <f>SUMIFS(Budget!$M$5:$M$90,Budget!$F$5:$F$90,$A9,Budget!$E$5:$E$90,$B9)</f>
        <v>7208012.7000000011</v>
      </c>
    </row>
    <row r="10" spans="1:8">
      <c r="A10" s="46" t="s">
        <v>24</v>
      </c>
      <c r="B10" t="s">
        <v>26</v>
      </c>
      <c r="C10" s="47">
        <f>SUMIFS(Budget!$H$5:$H$90,Budget!$F$5:$F$90,$A10,Budget!$E$5:$E$90,$B10)</f>
        <v>0</v>
      </c>
      <c r="D10" s="4">
        <f>SUMIFS(Budget!$I$5:$I$90,Budget!$F$5:$F$90,$A10,Budget!$E$5:$E$90,$B10)</f>
        <v>1338234</v>
      </c>
      <c r="E10" s="47">
        <f>SUMIFS(Budget!$J$5:$J$90,Budget!$F$5:$F$90,$A10,Budget!$E$5:$E$90,$B10)</f>
        <v>0</v>
      </c>
      <c r="F10" s="4">
        <f>SUMIFS(Budget!$K$5:$K$90,Budget!$F$5:$F$90,$A10,Budget!$E$5:$E$90,$B10)</f>
        <v>1405145.7</v>
      </c>
      <c r="G10" s="47">
        <f>SUMIFS(Budget!$L$5:$L$90,Budget!$F$5:$F$90,$A10,Budget!$E$5:$E$90,$B10)</f>
        <v>0</v>
      </c>
      <c r="H10" s="48">
        <f>SUMIFS(Budget!$M$5:$M$90,Budget!$F$5:$F$90,$A10,Budget!$E$5:$E$90,$B10)</f>
        <v>1475402.9850000001</v>
      </c>
    </row>
    <row r="11" spans="1:8">
      <c r="A11" s="46" t="s">
        <v>24</v>
      </c>
      <c r="B11" t="s">
        <v>23</v>
      </c>
      <c r="C11" s="47">
        <f>SUMIFS(Budget!$H$5:$H$90,Budget!$F$5:$F$90,$A11,Budget!$E$5:$E$90,$B11)</f>
        <v>64</v>
      </c>
      <c r="D11" s="4">
        <f>SUMIFS(Budget!$I$5:$I$90,Budget!$F$5:$F$90,$A11,Budget!$E$5:$E$90,$B11)</f>
        <v>4646416</v>
      </c>
      <c r="E11" s="47">
        <f>SUMIFS(Budget!$J$5:$J$90,Budget!$F$5:$F$90,$A11,Budget!$E$5:$E$90,$B11)</f>
        <v>64</v>
      </c>
      <c r="F11" s="4">
        <f>SUMIFS(Budget!$K$5:$K$90,Budget!$F$5:$F$90,$A11,Budget!$E$5:$E$90,$B11)</f>
        <v>4646416</v>
      </c>
      <c r="G11" s="47">
        <f>SUMIFS(Budget!$L$5:$L$90,Budget!$F$5:$F$90,$A11,Budget!$E$5:$E$90,$B11)</f>
        <v>64</v>
      </c>
      <c r="H11" s="48">
        <f>SUMIFS(Budget!$M$5:$M$90,Budget!$F$5:$F$90,$A11,Budget!$E$5:$E$90,$B11)</f>
        <v>4646416</v>
      </c>
    </row>
    <row r="12" spans="1:8">
      <c r="A12" s="46" t="s">
        <v>42</v>
      </c>
      <c r="B12" t="s">
        <v>41</v>
      </c>
      <c r="C12" s="47">
        <f>SUMIFS(Budget!$H$5:$H$90,Budget!$F$5:$F$90,$A12,Budget!$E$5:$E$90,$B12)</f>
        <v>52</v>
      </c>
      <c r="D12" s="4">
        <f>SUMIFS(Budget!$I$5:$I$90,Budget!$F$5:$F$90,$A12,Budget!$E$5:$E$90,$B12)</f>
        <v>4694521</v>
      </c>
      <c r="E12" s="47">
        <f>SUMIFS(Budget!$J$5:$J$90,Budget!$F$5:$F$90,$A12,Budget!$E$5:$E$90,$B12)</f>
        <v>52</v>
      </c>
      <c r="F12" s="4">
        <f>SUMIFS(Budget!$K$5:$K$90,Budget!$F$5:$F$90,$A12,Budget!$E$5:$E$90,$B12)</f>
        <v>4694521</v>
      </c>
      <c r="G12" s="47">
        <f>SUMIFS(Budget!$L$5:$L$90,Budget!$F$5:$F$90,$A12,Budget!$E$5:$E$90,$B12)</f>
        <v>52</v>
      </c>
      <c r="H12" s="48">
        <f>SUMIFS(Budget!$M$5:$M$90,Budget!$F$5:$F$90,$A12,Budget!$E$5:$E$90,$B12)</f>
        <v>4694521</v>
      </c>
    </row>
    <row r="13" spans="1:8">
      <c r="A13" s="46" t="s">
        <v>42</v>
      </c>
      <c r="B13" t="s">
        <v>53</v>
      </c>
      <c r="C13" s="47">
        <f>SUMIFS(Budget!$H$5:$H$90,Budget!$F$5:$F$90,$A13,Budget!$E$5:$E$90,$B13)</f>
        <v>0</v>
      </c>
      <c r="D13" s="4">
        <f>SUMIFS(Budget!$I$5:$I$90,Budget!$F$5:$F$90,$A13,Budget!$E$5:$E$90,$B13)</f>
        <v>55446</v>
      </c>
      <c r="E13" s="47">
        <f>SUMIFS(Budget!$J$5:$J$90,Budget!$F$5:$F$90,$A13,Budget!$E$5:$E$90,$B13)</f>
        <v>0</v>
      </c>
      <c r="F13" s="4">
        <f>SUMIFS(Budget!$K$5:$K$90,Budget!$F$5:$F$90,$A13,Budget!$E$5:$E$90,$B13)</f>
        <v>58218.3</v>
      </c>
      <c r="G13" s="47">
        <f>SUMIFS(Budget!$L$5:$L$90,Budget!$F$5:$F$90,$A13,Budget!$E$5:$E$90,$B13)</f>
        <v>0</v>
      </c>
      <c r="H13" s="48">
        <f>SUMIFS(Budget!$M$5:$M$90,Budget!$F$5:$F$90,$A13,Budget!$E$5:$E$90,$B13)</f>
        <v>61129.215000000004</v>
      </c>
    </row>
    <row r="14" spans="1:8">
      <c r="A14" s="46" t="s">
        <v>30</v>
      </c>
      <c r="B14" t="s">
        <v>26</v>
      </c>
      <c r="C14" s="47">
        <f>SUMIFS(Budget!$H$5:$H$90,Budget!$F$5:$F$90,$A14,Budget!$E$5:$E$90,$B14)</f>
        <v>0</v>
      </c>
      <c r="D14" s="4">
        <f>SUMIFS(Budget!$I$5:$I$90,Budget!$F$5:$F$90,$A14,Budget!$E$5:$E$90,$B14)</f>
        <v>24225</v>
      </c>
      <c r="E14" s="47">
        <f>SUMIFS(Budget!$J$5:$J$90,Budget!$F$5:$F$90,$A14,Budget!$E$5:$E$90,$B14)</f>
        <v>0</v>
      </c>
      <c r="F14" s="4">
        <f>SUMIFS(Budget!$K$5:$K$90,Budget!$F$5:$F$90,$A14,Budget!$E$5:$E$90,$B14)</f>
        <v>25436.25</v>
      </c>
      <c r="G14" s="47">
        <f>SUMIFS(Budget!$L$5:$L$90,Budget!$F$5:$F$90,$A14,Budget!$E$5:$E$90,$B14)</f>
        <v>0</v>
      </c>
      <c r="H14" s="48">
        <f>SUMIFS(Budget!$M$5:$M$90,Budget!$F$5:$F$90,$A14,Budget!$E$5:$E$90,$B14)</f>
        <v>26708.0625</v>
      </c>
    </row>
    <row r="15" spans="1:8">
      <c r="A15" s="46" t="s">
        <v>30</v>
      </c>
      <c r="B15" t="s">
        <v>29</v>
      </c>
      <c r="C15" s="47">
        <f>SUMIFS(Budget!$H$5:$H$90,Budget!$F$5:$F$90,$A15,Budget!$E$5:$E$90,$B15)</f>
        <v>0</v>
      </c>
      <c r="D15" s="4">
        <f>SUMIFS(Budget!$I$5:$I$90,Budget!$F$5:$F$90,$A15,Budget!$E$5:$E$90,$B15)</f>
        <v>2004338</v>
      </c>
      <c r="E15" s="47">
        <f>SUMIFS(Budget!$J$5:$J$90,Budget!$F$5:$F$90,$A15,Budget!$E$5:$E$90,$B15)</f>
        <v>0</v>
      </c>
      <c r="F15" s="4">
        <f>SUMIFS(Budget!$K$5:$K$90,Budget!$F$5:$F$90,$A15,Budget!$E$5:$E$90,$B15)</f>
        <v>2104554.9</v>
      </c>
      <c r="G15" s="47">
        <f>SUMIFS(Budget!$L$5:$L$90,Budget!$F$5:$F$90,$A15,Budget!$E$5:$E$90,$B15)</f>
        <v>0</v>
      </c>
      <c r="H15" s="48">
        <f>SUMIFS(Budget!$M$5:$M$90,Budget!$F$5:$F$90,$A15,Budget!$E$5:$E$90,$B15)</f>
        <v>2209782.645</v>
      </c>
    </row>
    <row r="16" spans="1:8">
      <c r="A16" s="46" t="s">
        <v>34</v>
      </c>
      <c r="B16" t="s">
        <v>90</v>
      </c>
      <c r="C16" s="47">
        <f>SUMIFS(Budget!$H$5:$H$90,Budget!$F$5:$F$90,$A16,Budget!$E$5:$E$90,$B16)</f>
        <v>0</v>
      </c>
      <c r="D16" s="4">
        <f>SUMIFS(Budget!$I$5:$I$90,Budget!$F$5:$F$90,$A16,Budget!$E$5:$E$90,$B16)</f>
        <v>24850</v>
      </c>
      <c r="E16" s="47">
        <f>SUMIFS(Budget!$J$5:$J$90,Budget!$F$5:$F$90,$A16,Budget!$E$5:$E$90,$B16)</f>
        <v>0</v>
      </c>
      <c r="F16" s="4">
        <f>SUMIFS(Budget!$K$5:$K$90,Budget!$F$5:$F$90,$A16,Budget!$E$5:$E$90,$B16)</f>
        <v>26092.5</v>
      </c>
      <c r="G16" s="47">
        <f>SUMIFS(Budget!$L$5:$L$90,Budget!$F$5:$F$90,$A16,Budget!$E$5:$E$90,$B16)</f>
        <v>0</v>
      </c>
      <c r="H16" s="48">
        <f>SUMIFS(Budget!$M$5:$M$90,Budget!$F$5:$F$90,$A16,Budget!$E$5:$E$90,$B16)</f>
        <v>27397.125</v>
      </c>
    </row>
    <row r="17" spans="1:8">
      <c r="A17" s="46" t="s">
        <v>34</v>
      </c>
      <c r="B17" t="s">
        <v>29</v>
      </c>
      <c r="C17" s="47">
        <f>SUMIFS(Budget!$H$5:$H$90,Budget!$F$5:$F$90,$A17,Budget!$E$5:$E$90,$B17)</f>
        <v>0</v>
      </c>
      <c r="D17" s="4">
        <f>SUMIFS(Budget!$I$5:$I$90,Budget!$F$5:$F$90,$A17,Budget!$E$5:$E$90,$B17)</f>
        <v>0</v>
      </c>
      <c r="E17" s="47">
        <f>SUMIFS(Budget!$J$5:$J$90,Budget!$F$5:$F$90,$A17,Budget!$E$5:$E$90,$B17)</f>
        <v>0</v>
      </c>
      <c r="F17" s="4">
        <f>SUMIFS(Budget!$K$5:$K$90,Budget!$F$5:$F$90,$A17,Budget!$E$5:$E$90,$B17)</f>
        <v>0</v>
      </c>
      <c r="G17" s="47">
        <f>SUMIFS(Budget!$L$5:$L$90,Budget!$F$5:$F$90,$A17,Budget!$E$5:$E$90,$B17)</f>
        <v>0</v>
      </c>
      <c r="H17" s="48">
        <f>SUMIFS(Budget!$M$5:$M$90,Budget!$F$5:$F$90,$A17,Budget!$E$5:$E$90,$B17)</f>
        <v>0</v>
      </c>
    </row>
    <row r="18" spans="1:8">
      <c r="A18" s="46" t="s">
        <v>79</v>
      </c>
      <c r="B18" t="s">
        <v>26</v>
      </c>
      <c r="C18" s="47">
        <f>SUMIFS(Budget!$H$5:$H$90,Budget!$F$5:$F$90,$A18,Budget!$E$5:$E$90,$B18)</f>
        <v>0</v>
      </c>
      <c r="D18" s="4">
        <f>SUMIFS(Budget!$I$5:$I$90,Budget!$F$5:$F$90,$A18,Budget!$E$5:$E$90,$B18)</f>
        <v>1162692</v>
      </c>
      <c r="E18" s="47">
        <f>SUMIFS(Budget!$J$5:$J$90,Budget!$F$5:$F$90,$A18,Budget!$E$5:$E$90,$B18)</f>
        <v>0</v>
      </c>
      <c r="F18" s="4">
        <f>SUMIFS(Budget!$K$5:$K$90,Budget!$F$5:$F$90,$A18,Budget!$E$5:$E$90,$B18)</f>
        <v>1220826.6000000001</v>
      </c>
      <c r="G18" s="47">
        <f>SUMIFS(Budget!$L$5:$L$90,Budget!$F$5:$F$90,$A18,Budget!$E$5:$E$90,$B18)</f>
        <v>0</v>
      </c>
      <c r="H18" s="48">
        <f>SUMIFS(Budget!$M$5:$M$90,Budget!$F$5:$F$90,$A18,Budget!$E$5:$E$90,$B18)</f>
        <v>1281867.9300000002</v>
      </c>
    </row>
    <row r="19" spans="1:8">
      <c r="A19" s="46" t="s">
        <v>79</v>
      </c>
      <c r="B19" t="s">
        <v>98</v>
      </c>
      <c r="C19" s="47">
        <f>SUMIFS(Budget!$H$5:$H$90,Budget!$F$5:$F$90,$A19,Budget!$E$5:$E$90,$B19)</f>
        <v>37</v>
      </c>
      <c r="D19" s="4">
        <f>SUMIFS(Budget!$I$5:$I$90,Budget!$F$5:$F$90,$A19,Budget!$E$5:$E$90,$B19)</f>
        <v>1190660</v>
      </c>
      <c r="E19" s="47">
        <f>SUMIFS(Budget!$J$5:$J$90,Budget!$F$5:$F$90,$A19,Budget!$E$5:$E$90,$B19)</f>
        <v>37</v>
      </c>
      <c r="F19" s="4">
        <f>SUMIFS(Budget!$K$5:$K$90,Budget!$F$5:$F$90,$A19,Budget!$E$5:$E$90,$B19)</f>
        <v>1190660</v>
      </c>
      <c r="G19" s="47">
        <f>SUMIFS(Budget!$L$5:$L$90,Budget!$F$5:$F$90,$A19,Budget!$E$5:$E$90,$B19)</f>
        <v>37</v>
      </c>
      <c r="H19" s="48">
        <f>SUMIFS(Budget!$M$5:$M$90,Budget!$F$5:$F$90,$A19,Budget!$E$5:$E$90,$B19)</f>
        <v>1190660</v>
      </c>
    </row>
    <row r="20" spans="1:8">
      <c r="A20" s="46" t="s">
        <v>79</v>
      </c>
      <c r="B20" t="s">
        <v>23</v>
      </c>
      <c r="C20" s="47">
        <f>SUMIFS(Budget!$H$5:$H$90,Budget!$F$5:$F$90,$A20,Budget!$E$5:$E$90,$B20)</f>
        <v>0</v>
      </c>
      <c r="D20" s="4">
        <f>SUMIFS(Budget!$I$5:$I$90,Budget!$F$5:$F$90,$A20,Budget!$E$5:$E$90,$B20)</f>
        <v>0</v>
      </c>
      <c r="E20" s="47">
        <f>SUMIFS(Budget!$J$5:$J$90,Budget!$F$5:$F$90,$A20,Budget!$E$5:$E$90,$B20)</f>
        <v>0</v>
      </c>
      <c r="F20" s="4">
        <f>SUMIFS(Budget!$K$5:$K$90,Budget!$F$5:$F$90,$A20,Budget!$E$5:$E$90,$B20)</f>
        <v>0</v>
      </c>
      <c r="G20" s="47">
        <f>SUMIFS(Budget!$L$5:$L$90,Budget!$F$5:$F$90,$A20,Budget!$E$5:$E$90,$B20)</f>
        <v>0</v>
      </c>
      <c r="H20" s="48">
        <f>SUMIFS(Budget!$M$5:$M$90,Budget!$F$5:$F$90,$A20,Budget!$E$5:$E$90,$B20)</f>
        <v>0</v>
      </c>
    </row>
    <row r="21" spans="1:8">
      <c r="A21" s="46" t="s">
        <v>32</v>
      </c>
      <c r="B21" t="s">
        <v>26</v>
      </c>
      <c r="C21" s="47">
        <f>SUMIFS(Budget!$H$5:$H$90,Budget!$F$5:$F$90,$A21,Budget!$E$5:$E$90,$B21)</f>
        <v>0</v>
      </c>
      <c r="D21" s="4">
        <f>SUMIFS(Budget!$I$5:$I$90,Budget!$F$5:$F$90,$A21,Budget!$E$5:$E$90,$B21)</f>
        <v>519796</v>
      </c>
      <c r="E21" s="47">
        <f>SUMIFS(Budget!$J$5:$J$90,Budget!$F$5:$F$90,$A21,Budget!$E$5:$E$90,$B21)</f>
        <v>0</v>
      </c>
      <c r="F21" s="4">
        <f>SUMIFS(Budget!$K$5:$K$90,Budget!$F$5:$F$90,$A21,Budget!$E$5:$E$90,$B21)</f>
        <v>545785.80000000005</v>
      </c>
      <c r="G21" s="47">
        <f>SUMIFS(Budget!$L$5:$L$90,Budget!$F$5:$F$90,$A21,Budget!$E$5:$E$90,$B21)</f>
        <v>0</v>
      </c>
      <c r="H21" s="48">
        <f>SUMIFS(Budget!$M$5:$M$90,Budget!$F$5:$F$90,$A21,Budget!$E$5:$E$90,$B21)</f>
        <v>573075.09000000008</v>
      </c>
    </row>
    <row r="22" spans="1:8">
      <c r="A22" s="46" t="s">
        <v>50</v>
      </c>
      <c r="B22" t="s">
        <v>23</v>
      </c>
      <c r="C22" s="47">
        <f>SUMIFS(Budget!$H$5:$H$90,Budget!$F$5:$F$90,$A22,Budget!$E$5:$E$90,$B22)</f>
        <v>13</v>
      </c>
      <c r="D22" s="4">
        <f>SUMIFS(Budget!$I$5:$I$90,Budget!$F$5:$F$90,$A22,Budget!$E$5:$E$90,$B22)</f>
        <v>596500</v>
      </c>
      <c r="E22" s="47">
        <f>SUMIFS(Budget!$J$5:$J$90,Budget!$F$5:$F$90,$A22,Budget!$E$5:$E$90,$B22)</f>
        <v>13</v>
      </c>
      <c r="F22" s="4">
        <f>SUMIFS(Budget!$K$5:$K$90,Budget!$F$5:$F$90,$A22,Budget!$E$5:$E$90,$B22)</f>
        <v>596500</v>
      </c>
      <c r="G22" s="47">
        <f>SUMIFS(Budget!$L$5:$L$90,Budget!$F$5:$F$90,$A22,Budget!$E$5:$E$90,$B22)</f>
        <v>13</v>
      </c>
      <c r="H22" s="48">
        <f>SUMIFS(Budget!$M$5:$M$90,Budget!$F$5:$F$90,$A22,Budget!$E$5:$E$90,$B22)</f>
        <v>596500</v>
      </c>
    </row>
    <row r="23" spans="1:8">
      <c r="A23" s="49" t="s">
        <v>136</v>
      </c>
      <c r="B23" s="50"/>
      <c r="C23" s="51">
        <f t="shared" ref="C23:H23" si="0">SUM(C4:C22)</f>
        <v>393.5</v>
      </c>
      <c r="D23" s="52">
        <f t="shared" si="0"/>
        <v>40319072</v>
      </c>
      <c r="E23" s="51">
        <f t="shared" si="0"/>
        <v>393.5</v>
      </c>
      <c r="F23" s="52">
        <f t="shared" si="0"/>
        <v>40912570.049999997</v>
      </c>
      <c r="G23" s="51">
        <f t="shared" si="0"/>
        <v>393.5</v>
      </c>
      <c r="H23" s="53">
        <f t="shared" si="0"/>
        <v>41534903.002500013</v>
      </c>
    </row>
    <row r="26" spans="1:8" ht="15.6">
      <c r="A26" s="110" t="s">
        <v>137</v>
      </c>
      <c r="B26" s="110"/>
      <c r="C26" s="110"/>
      <c r="D26" s="110"/>
      <c r="E26" s="110"/>
      <c r="F26" s="110"/>
      <c r="G26" s="110"/>
      <c r="H26" s="110"/>
    </row>
    <row r="27" spans="1:8" ht="13.5" customHeight="1">
      <c r="A27" s="41"/>
      <c r="B27" s="42"/>
      <c r="C27" s="107" t="s">
        <v>10</v>
      </c>
      <c r="D27" s="107"/>
      <c r="E27" s="108" t="s">
        <v>11</v>
      </c>
      <c r="F27" s="108"/>
      <c r="G27" s="109" t="s">
        <v>12</v>
      </c>
      <c r="H27" s="109"/>
    </row>
    <row r="28" spans="1:8">
      <c r="A28" s="43" t="s">
        <v>15</v>
      </c>
      <c r="B28" s="44" t="s">
        <v>6</v>
      </c>
      <c r="C28" s="44" t="s">
        <v>18</v>
      </c>
      <c r="D28" s="44" t="s">
        <v>135</v>
      </c>
      <c r="E28" s="44" t="s">
        <v>18</v>
      </c>
      <c r="F28" s="44" t="s">
        <v>135</v>
      </c>
      <c r="G28" s="44" t="s">
        <v>18</v>
      </c>
      <c r="H28" s="45" t="s">
        <v>135</v>
      </c>
    </row>
    <row r="29" spans="1:8">
      <c r="A29" s="46" t="s">
        <v>95</v>
      </c>
      <c r="B29" t="s">
        <v>138</v>
      </c>
      <c r="C29" s="47">
        <f>SUMIFS(Budget!$H$5:$H$90,Budget!$Q$5:$Q$90,$A29,Budget!$R$5:$R$90,$B29)</f>
        <v>3.5</v>
      </c>
      <c r="D29" s="4">
        <f>SUMIFS(Budget!$I$5:$I$90,Budget!$Q$5:$Q$90,$A29,Budget!$R$5:$R$90,$B29)</f>
        <v>413494</v>
      </c>
      <c r="E29" s="47">
        <f>SUMIFS(Budget!$J$5:$J$90,Budget!$Q$5:$Q$90,$A29,Budget!$R$5:$R$90,$B29)</f>
        <v>3.5</v>
      </c>
      <c r="F29" s="4">
        <f>SUMIFS(Budget!$K$5:$K$90,Budget!$Q$5:$Q$90,$A29,Budget!$R$5:$R$90,$B29)</f>
        <v>413494</v>
      </c>
      <c r="G29" s="47">
        <f>SUMIFS(Budget!$L$5:$L$90,Budget!$Q$5:$Q$90,$A29,Budget!$R$5:$R$90,$B29)</f>
        <v>3.5</v>
      </c>
      <c r="H29" s="48">
        <f>SUMIFS(Budget!$M$5:$M$90,Budget!$Q$5:$Q$90,$A29,Budget!$R$5:$R$90,$B29)</f>
        <v>413494</v>
      </c>
    </row>
    <row r="30" spans="1:8">
      <c r="A30" s="46" t="s">
        <v>95</v>
      </c>
      <c r="B30" t="s">
        <v>139</v>
      </c>
      <c r="C30" s="47">
        <f>SUMIFS(Budget!$H$5:$H$90,Budget!$Q$5:$Q$90,$A30,Budget!$R$5:$R$90,$B30)</f>
        <v>0</v>
      </c>
      <c r="D30" s="4">
        <f>SUMIFS(Budget!$I$5:$I$90,Budget!$Q$5:$Q$90,$A30,Budget!$R$5:$R$90,$B30)</f>
        <v>100000</v>
      </c>
      <c r="E30" s="47">
        <f>SUMIFS(Budget!$J$5:$J$90,Budget!$Q$5:$Q$90,$A30,Budget!$R$5:$R$90,$B30)</f>
        <v>0</v>
      </c>
      <c r="F30" s="4">
        <f>SUMIFS(Budget!$K$5:$K$90,Budget!$Q$5:$Q$90,$A30,Budget!$R$5:$R$90,$B30)</f>
        <v>105000</v>
      </c>
      <c r="G30" s="47">
        <f>SUMIFS(Budget!$L$5:$L$90,Budget!$Q$5:$Q$90,$A30,Budget!$R$5:$R$90,$B30)</f>
        <v>0</v>
      </c>
      <c r="H30" s="48">
        <f>SUMIFS(Budget!$M$5:$M$90,Budget!$Q$5:$Q$90,$A30,Budget!$R$5:$R$90,$B30)</f>
        <v>110250</v>
      </c>
    </row>
    <row r="31" spans="1:8">
      <c r="A31" s="46" t="s">
        <v>36</v>
      </c>
      <c r="B31" t="s">
        <v>139</v>
      </c>
      <c r="C31" s="47">
        <f>SUMIFS(Budget!$H$5:$H$90,Budget!$Q$5:$Q$90,$A31,Budget!$R$5:$R$90,$B31)</f>
        <v>0</v>
      </c>
      <c r="D31" s="4">
        <f>SUMIFS(Budget!$I$5:$I$90,Budget!$Q$5:$Q$90,$A31,Budget!$R$5:$R$90,$B31)</f>
        <v>6537880</v>
      </c>
      <c r="E31" s="47">
        <f>SUMIFS(Budget!$J$5:$J$90,Budget!$Q$5:$Q$90,$A31,Budget!$R$5:$R$90,$B31)</f>
        <v>0</v>
      </c>
      <c r="F31" s="4">
        <f>SUMIFS(Budget!$K$5:$K$90,Budget!$Q$5:$Q$90,$A31,Budget!$R$5:$R$90,$B31)</f>
        <v>6864774.0000000009</v>
      </c>
      <c r="G31" s="47">
        <f>SUMIFS(Budget!$L$5:$L$90,Budget!$Q$5:$Q$90,$A31,Budget!$R$5:$R$90,$B31)</f>
        <v>0</v>
      </c>
      <c r="H31" s="48">
        <f>SUMIFS(Budget!$M$5:$M$90,Budget!$Q$5:$Q$90,$A31,Budget!$R$5:$R$90,$B31)</f>
        <v>7208012.7000000011</v>
      </c>
    </row>
    <row r="32" spans="1:8">
      <c r="A32" s="46" t="s">
        <v>140</v>
      </c>
      <c r="B32" t="s">
        <v>138</v>
      </c>
      <c r="C32" s="47">
        <f>SUMIFS(Budget!$H$5:$H$90,Budget!$Q$5:$Q$90,$A32,Budget!$R$5:$R$90,$B32)</f>
        <v>64</v>
      </c>
      <c r="D32" s="4">
        <f>SUMIFS(Budget!$I$5:$I$90,Budget!$Q$5:$Q$90,$A32,Budget!$R$5:$R$90,$B32)</f>
        <v>4646416</v>
      </c>
      <c r="E32" s="47">
        <f>SUMIFS(Budget!$J$5:$J$90,Budget!$Q$5:$Q$90,$A32,Budget!$R$5:$R$90,$B32)</f>
        <v>64</v>
      </c>
      <c r="F32" s="4">
        <f>SUMIFS(Budget!$K$5:$K$90,Budget!$Q$5:$Q$90,$A32,Budget!$R$5:$R$90,$B32)</f>
        <v>4646416</v>
      </c>
      <c r="G32" s="47">
        <f>SUMIFS(Budget!$L$5:$L$90,Budget!$Q$5:$Q$90,$A32,Budget!$R$5:$R$90,$B32)</f>
        <v>64</v>
      </c>
      <c r="H32" s="48">
        <f>SUMIFS(Budget!$M$5:$M$90,Budget!$Q$5:$Q$90,$A32,Budget!$R$5:$R$90,$B32)</f>
        <v>4646416</v>
      </c>
    </row>
    <row r="33" spans="1:8">
      <c r="A33" s="46" t="s">
        <v>140</v>
      </c>
      <c r="B33" t="s">
        <v>139</v>
      </c>
      <c r="C33" s="47">
        <f>SUMIFS(Budget!$H$5:$H$90,Budget!$Q$5:$Q$90,$A33,Budget!$R$5:$R$90,$B33)</f>
        <v>0</v>
      </c>
      <c r="D33" s="4">
        <f>SUMIFS(Budget!$I$5:$I$90,Budget!$Q$5:$Q$90,$A33,Budget!$R$5:$R$90,$B33)</f>
        <v>1338234</v>
      </c>
      <c r="E33" s="47">
        <f>SUMIFS(Budget!$J$5:$J$90,Budget!$Q$5:$Q$90,$A33,Budget!$R$5:$R$90,$B33)</f>
        <v>0</v>
      </c>
      <c r="F33" s="4">
        <f>SUMIFS(Budget!$K$5:$K$90,Budget!$Q$5:$Q$90,$A33,Budget!$R$5:$R$90,$B33)</f>
        <v>1405145.7</v>
      </c>
      <c r="G33" s="47">
        <f>SUMIFS(Budget!$L$5:$L$90,Budget!$Q$5:$Q$90,$A33,Budget!$R$5:$R$90,$B33)</f>
        <v>0</v>
      </c>
      <c r="H33" s="48">
        <f>SUMIFS(Budget!$M$5:$M$90,Budget!$Q$5:$Q$90,$A33,Budget!$R$5:$R$90,$B33)</f>
        <v>1475402.9850000001</v>
      </c>
    </row>
    <row r="34" spans="1:8">
      <c r="A34" s="46" t="s">
        <v>141</v>
      </c>
      <c r="B34" t="s">
        <v>138</v>
      </c>
      <c r="C34" s="47">
        <f>SUMIFS(Budget!$H$5:$H$90,Budget!$Q$5:$Q$90,$A34,Budget!$R$5:$R$90,$B34)</f>
        <v>52</v>
      </c>
      <c r="D34" s="4">
        <f>SUMIFS(Budget!$I$5:$I$90,Budget!$Q$5:$Q$90,$A34,Budget!$R$5:$R$90,$B34)</f>
        <v>4749967</v>
      </c>
      <c r="E34" s="47">
        <f>SUMIFS(Budget!$J$5:$J$90,Budget!$Q$5:$Q$90,$A34,Budget!$R$5:$R$90,$B34)</f>
        <v>52</v>
      </c>
      <c r="F34" s="4">
        <f>SUMIFS(Budget!$K$5:$K$90,Budget!$Q$5:$Q$90,$A34,Budget!$R$5:$R$90,$B34)</f>
        <v>4752739.3</v>
      </c>
      <c r="G34" s="47">
        <f>SUMIFS(Budget!$L$5:$L$90,Budget!$Q$5:$Q$90,$A34,Budget!$R$5:$R$90,$B34)</f>
        <v>52</v>
      </c>
      <c r="H34" s="48">
        <f>SUMIFS(Budget!$M$5:$M$90,Budget!$Q$5:$Q$90,$A34,Budget!$R$5:$R$90,$B34)</f>
        <v>4755650.2149999999</v>
      </c>
    </row>
    <row r="35" spans="1:8">
      <c r="A35" s="46" t="s">
        <v>142</v>
      </c>
      <c r="B35" t="s">
        <v>143</v>
      </c>
      <c r="C35" s="47">
        <f>SUMIFS(Budget!$H$5:$H$90,Budget!$Q$5:$Q$90,$A35,Budget!$R$5:$R$90,$B35)</f>
        <v>0</v>
      </c>
      <c r="D35" s="4">
        <f>SUMIFS(Budget!$I$5:$I$90,Budget!$Q$5:$Q$90,$A35,Budget!$R$5:$R$90,$B35)</f>
        <v>2004338</v>
      </c>
      <c r="E35" s="47">
        <f>SUMIFS(Budget!$J$5:$J$90,Budget!$Q$5:$Q$90,$A35,Budget!$R$5:$R$90,$B35)</f>
        <v>0</v>
      </c>
      <c r="F35" s="4">
        <f>SUMIFS(Budget!$K$5:$K$90,Budget!$Q$5:$Q$90,$A35,Budget!$R$5:$R$90,$B35)</f>
        <v>2104554.9</v>
      </c>
      <c r="G35" s="47">
        <f>SUMIFS(Budget!$L$5:$L$90,Budget!$Q$5:$Q$90,$A35,Budget!$R$5:$R$90,$B35)</f>
        <v>0</v>
      </c>
      <c r="H35" s="48">
        <f>SUMIFS(Budget!$M$5:$M$90,Budget!$Q$5:$Q$90,$A35,Budget!$R$5:$R$90,$B35)</f>
        <v>2209782.645</v>
      </c>
    </row>
    <row r="36" spans="1:8">
      <c r="A36" s="46" t="s">
        <v>142</v>
      </c>
      <c r="B36" t="s">
        <v>144</v>
      </c>
      <c r="C36" s="47">
        <f>SUMIFS(Budget!$H$5:$H$90,Budget!$Q$5:$Q$90,$A36,Budget!$R$5:$R$90,$B36)</f>
        <v>0</v>
      </c>
      <c r="D36" s="4">
        <f>SUMIFS(Budget!$I$5:$I$90,Budget!$Q$5:$Q$90,$A36,Budget!$R$5:$R$90,$B36)</f>
        <v>24225</v>
      </c>
      <c r="E36" s="47">
        <f>SUMIFS(Budget!$J$5:$J$90,Budget!$Q$5:$Q$90,$A36,Budget!$R$5:$R$90,$B36)</f>
        <v>0</v>
      </c>
      <c r="F36" s="4">
        <f>SUMIFS(Budget!$K$5:$K$90,Budget!$Q$5:$Q$90,$A36,Budget!$R$5:$R$90,$B36)</f>
        <v>25436.25</v>
      </c>
      <c r="G36" s="47">
        <f>SUMIFS(Budget!$L$5:$L$90,Budget!$Q$5:$Q$90,$A36,Budget!$R$5:$R$90,$B36)</f>
        <v>0</v>
      </c>
      <c r="H36" s="48">
        <f>SUMIFS(Budget!$M$5:$M$90,Budget!$Q$5:$Q$90,$A36,Budget!$R$5:$R$90,$B36)</f>
        <v>26708.0625</v>
      </c>
    </row>
    <row r="37" spans="1:8">
      <c r="A37" s="46" t="s">
        <v>145</v>
      </c>
      <c r="B37" t="s">
        <v>143</v>
      </c>
      <c r="C37" s="47">
        <f>SUMIFS(Budget!$H$5:$H$90,Budget!$Q$5:$Q$90,$A37,Budget!$R$5:$R$90,$B37)</f>
        <v>0</v>
      </c>
      <c r="D37" s="4">
        <f>SUMIFS(Budget!$I$5:$I$90,Budget!$Q$5:$Q$90,$A37,Budget!$R$5:$R$90,$B37)</f>
        <v>0</v>
      </c>
      <c r="E37" s="47">
        <f>SUMIFS(Budget!$J$5:$J$90,Budget!$Q$5:$Q$90,$A37,Budget!$R$5:$R$90,$B37)</f>
        <v>0</v>
      </c>
      <c r="F37" s="4">
        <f>SUMIFS(Budget!$K$5:$K$90,Budget!$Q$5:$Q$90,$A37,Budget!$R$5:$R$90,$B37)</f>
        <v>0</v>
      </c>
      <c r="G37" s="47">
        <f>SUMIFS(Budget!$L$5:$L$90,Budget!$Q$5:$Q$90,$A37,Budget!$R$5:$R$90,$B37)</f>
        <v>0</v>
      </c>
      <c r="H37" s="48">
        <f>SUMIFS(Budget!$M$5:$M$90,Budget!$Q$5:$Q$90,$A37,Budget!$R$5:$R$90,$B37)</f>
        <v>0</v>
      </c>
    </row>
    <row r="38" spans="1:8">
      <c r="A38" s="46" t="s">
        <v>145</v>
      </c>
      <c r="B38" t="s">
        <v>144</v>
      </c>
      <c r="C38" s="47">
        <f>SUMIFS(Budget!$H$5:$H$90,Budget!$Q$5:$Q$90,$A38,Budget!$R$5:$R$90,$B38)</f>
        <v>0</v>
      </c>
      <c r="D38" s="4">
        <f>SUMIFS(Budget!$I$5:$I$90,Budget!$Q$5:$Q$90,$A38,Budget!$R$5:$R$90,$B38)</f>
        <v>24850</v>
      </c>
      <c r="E38" s="47">
        <f>SUMIFS(Budget!$J$5:$J$90,Budget!$Q$5:$Q$90,$A38,Budget!$R$5:$R$90,$B38)</f>
        <v>0</v>
      </c>
      <c r="F38" s="4">
        <f>SUMIFS(Budget!$K$5:$K$90,Budget!$Q$5:$Q$90,$A38,Budget!$R$5:$R$90,$B38)</f>
        <v>26092.5</v>
      </c>
      <c r="G38" s="47">
        <f>SUMIFS(Budget!$L$5:$L$90,Budget!$Q$5:$Q$90,$A38,Budget!$R$5:$R$90,$B38)</f>
        <v>0</v>
      </c>
      <c r="H38" s="48">
        <f>SUMIFS(Budget!$M$5:$M$90,Budget!$Q$5:$Q$90,$A38,Budget!$R$5:$R$90,$B38)</f>
        <v>27397.125</v>
      </c>
    </row>
    <row r="39" spans="1:8">
      <c r="A39" s="46" t="s">
        <v>79</v>
      </c>
      <c r="B39" t="s">
        <v>146</v>
      </c>
      <c r="C39" s="47">
        <f>SUMIFS(Budget!$H$5:$H$90,Budget!$Q$5:$Q$90,$A39,Budget!$R$5:$R$90,$B39)</f>
        <v>37</v>
      </c>
      <c r="D39" s="4">
        <f>SUMIFS(Budget!$I$5:$I$90,Budget!$Q$5:$Q$90,$A39,Budget!$R$5:$R$90,$B39)</f>
        <v>1190660</v>
      </c>
      <c r="E39" s="47">
        <f>SUMIFS(Budget!$J$5:$J$90,Budget!$Q$5:$Q$90,$A39,Budget!$R$5:$R$90,$B39)</f>
        <v>37</v>
      </c>
      <c r="F39" s="4">
        <f>SUMIFS(Budget!$K$5:$K$90,Budget!$Q$5:$Q$90,$A39,Budget!$R$5:$R$90,$B39)</f>
        <v>1190660</v>
      </c>
      <c r="G39" s="47">
        <f>SUMIFS(Budget!$L$5:$L$90,Budget!$Q$5:$Q$90,$A39,Budget!$R$5:$R$90,$B39)</f>
        <v>37</v>
      </c>
      <c r="H39" s="48">
        <f>SUMIFS(Budget!$M$5:$M$90,Budget!$Q$5:$Q$90,$A39,Budget!$R$5:$R$90,$B39)</f>
        <v>1190660</v>
      </c>
    </row>
    <row r="40" spans="1:8">
      <c r="A40" s="46" t="s">
        <v>79</v>
      </c>
      <c r="B40" t="s">
        <v>147</v>
      </c>
      <c r="C40" s="47">
        <f>SUMIFS(Budget!$H$5:$H$90,Budget!$Q$5:$Q$90,$A40,Budget!$R$5:$R$90,$B40)</f>
        <v>0</v>
      </c>
      <c r="D40" s="4">
        <f>SUMIFS(Budget!$I$5:$I$90,Budget!$Q$5:$Q$90,$A40,Budget!$R$5:$R$90,$B40)</f>
        <v>0</v>
      </c>
      <c r="E40" s="47">
        <f>SUMIFS(Budget!$J$5:$J$90,Budget!$Q$5:$Q$90,$A40,Budget!$R$5:$R$90,$B40)</f>
        <v>0</v>
      </c>
      <c r="F40" s="4">
        <f>SUMIFS(Budget!$K$5:$K$90,Budget!$Q$5:$Q$90,$A40,Budget!$R$5:$R$90,$B40)</f>
        <v>0</v>
      </c>
      <c r="G40" s="47">
        <f>SUMIFS(Budget!$L$5:$L$90,Budget!$Q$5:$Q$90,$A40,Budget!$R$5:$R$90,$B40)</f>
        <v>0</v>
      </c>
      <c r="H40" s="48">
        <f>SUMIFS(Budget!$M$5:$M$90,Budget!$Q$5:$Q$90,$A40,Budget!$R$5:$R$90,$B40)</f>
        <v>0</v>
      </c>
    </row>
    <row r="41" spans="1:8">
      <c r="A41" s="46" t="s">
        <v>79</v>
      </c>
      <c r="B41" t="s">
        <v>139</v>
      </c>
      <c r="C41" s="47">
        <f>SUMIFS(Budget!$H$5:$H$90,Budget!$Q$5:$Q$90,$A41,Budget!$R$5:$R$90,$B41)</f>
        <v>0</v>
      </c>
      <c r="D41" s="4">
        <f>SUMIFS(Budget!$I$5:$I$90,Budget!$Q$5:$Q$90,$A41,Budget!$R$5:$R$90,$B41)</f>
        <v>1162692</v>
      </c>
      <c r="E41" s="47">
        <f>SUMIFS(Budget!$J$5:$J$90,Budget!$Q$5:$Q$90,$A41,Budget!$R$5:$R$90,$B41)</f>
        <v>0</v>
      </c>
      <c r="F41" s="4">
        <f>SUMIFS(Budget!$K$5:$K$90,Budget!$Q$5:$Q$90,$A41,Budget!$R$5:$R$90,$B41)</f>
        <v>1220826.6000000001</v>
      </c>
      <c r="G41" s="47">
        <f>SUMIFS(Budget!$L$5:$L$90,Budget!$Q$5:$Q$90,$A41,Budget!$R$5:$R$90,$B41)</f>
        <v>0</v>
      </c>
      <c r="H41" s="48">
        <f>SUMIFS(Budget!$M$5:$M$90,Budget!$Q$5:$Q$90,$A41,Budget!$R$5:$R$90,$B41)</f>
        <v>1281867.9300000002</v>
      </c>
    </row>
    <row r="42" spans="1:8">
      <c r="A42" s="46" t="s">
        <v>32</v>
      </c>
      <c r="B42" t="s">
        <v>139</v>
      </c>
      <c r="C42" s="47">
        <f>SUMIFS(Budget!$H$5:$H$90,Budget!$Q$5:$Q$90,$A42,Budget!$R$5:$R$90,$B42)</f>
        <v>0</v>
      </c>
      <c r="D42" s="4">
        <f>SUMIFS(Budget!$I$5:$I$90,Budget!$Q$5:$Q$90,$A42,Budget!$R$5:$R$90,$B42)</f>
        <v>519796</v>
      </c>
      <c r="E42" s="47">
        <f>SUMIFS(Budget!$J$5:$J$90,Budget!$Q$5:$Q$90,$A42,Budget!$R$5:$R$90,$B42)</f>
        <v>0</v>
      </c>
      <c r="F42" s="4">
        <f>SUMIFS(Budget!$K$5:$K$90,Budget!$Q$5:$Q$90,$A42,Budget!$R$5:$R$90,$B42)</f>
        <v>545785.80000000005</v>
      </c>
      <c r="G42" s="47">
        <f>SUMIFS(Budget!$L$5:$L$90,Budget!$Q$5:$Q$90,$A42,Budget!$R$5:$R$90,$B42)</f>
        <v>0</v>
      </c>
      <c r="H42" s="48">
        <f>SUMIFS(Budget!$M$5:$M$90,Budget!$Q$5:$Q$90,$A42,Budget!$R$5:$R$90,$B42)</f>
        <v>573075.09000000008</v>
      </c>
    </row>
    <row r="43" spans="1:8">
      <c r="A43" s="46" t="s">
        <v>50</v>
      </c>
      <c r="B43" t="s">
        <v>147</v>
      </c>
      <c r="C43" s="47">
        <f>SUMIFS(Budget!$H$5:$H$90,Budget!$Q$5:$Q$90,$A43,Budget!$R$5:$R$90,$B43)</f>
        <v>13</v>
      </c>
      <c r="D43" s="4">
        <f>SUMIFS(Budget!$I$5:$I$90,Budget!$Q$5:$Q$90,$A43,Budget!$R$5:$R$90,$B43)</f>
        <v>596500</v>
      </c>
      <c r="E43" s="47">
        <f>SUMIFS(Budget!$J$5:$J$90,Budget!$Q$5:$Q$90,$A43,Budget!$R$5:$R$90,$B43)</f>
        <v>13</v>
      </c>
      <c r="F43" s="4">
        <f>SUMIFS(Budget!$K$5:$K$90,Budget!$Q$5:$Q$90,$A43,Budget!$R$5:$R$90,$B43)</f>
        <v>596500</v>
      </c>
      <c r="G43" s="47">
        <f>SUMIFS(Budget!$L$5:$L$90,Budget!$Q$5:$Q$90,$A43,Budget!$R$5:$R$90,$B43)</f>
        <v>13</v>
      </c>
      <c r="H43" s="48">
        <f>SUMIFS(Budget!$M$5:$M$90,Budget!$Q$5:$Q$90,$A43,Budget!$R$5:$R$90,$B43)</f>
        <v>596500</v>
      </c>
    </row>
    <row r="44" spans="1:8">
      <c r="A44" s="46" t="s">
        <v>148</v>
      </c>
      <c r="B44" t="s">
        <v>138</v>
      </c>
      <c r="C44" s="47">
        <f>SUMIFS(Budget!$H$5:$H$90,Budget!$Q$5:$Q$90,$A44,Budget!$R$5:$R$90,$B44)</f>
        <v>224</v>
      </c>
      <c r="D44" s="4">
        <f>SUMIFS(Budget!$I$5:$I$90,Budget!$Q$5:$Q$90,$A44,Budget!$R$5:$R$90,$B44)</f>
        <v>16935020</v>
      </c>
      <c r="E44" s="47">
        <f>SUMIFS(Budget!$J$5:$J$90,Budget!$Q$5:$Q$90,$A44,Budget!$R$5:$R$90,$B44)</f>
        <v>224</v>
      </c>
      <c r="F44" s="4">
        <f>SUMIFS(Budget!$K$5:$K$90,Budget!$Q$5:$Q$90,$A44,Budget!$R$5:$R$90,$B44)</f>
        <v>16940145</v>
      </c>
      <c r="G44" s="47">
        <f>SUMIFS(Budget!$L$5:$L$90,Budget!$Q$5:$Q$90,$A44,Budget!$R$5:$R$90,$B44)</f>
        <v>224</v>
      </c>
      <c r="H44" s="48">
        <f>SUMIFS(Budget!$M$5:$M$90,Budget!$Q$5:$Q$90,$A44,Budget!$R$5:$R$90,$B44)</f>
        <v>16944686.25</v>
      </c>
    </row>
    <row r="45" spans="1:8">
      <c r="A45" s="46" t="s">
        <v>148</v>
      </c>
      <c r="B45" t="s">
        <v>144</v>
      </c>
      <c r="C45" s="47">
        <f>SUMIFS(Budget!$H$5:$H$90,Budget!$Q$5:$Q$90,$A45,Budget!$R$5:$R$90,$B45)</f>
        <v>0</v>
      </c>
      <c r="D45" s="4">
        <f>SUMIFS(Budget!$I$5:$I$90,Budget!$Q$5:$Q$90,$A45,Budget!$R$5:$R$90,$B45)</f>
        <v>75000</v>
      </c>
      <c r="E45" s="47">
        <f>SUMIFS(Budget!$J$5:$J$90,Budget!$Q$5:$Q$90,$A45,Budget!$R$5:$R$90,$B45)</f>
        <v>0</v>
      </c>
      <c r="F45" s="4">
        <f>SUMIFS(Budget!$K$5:$K$90,Budget!$Q$5:$Q$90,$A45,Budget!$R$5:$R$90,$B45)</f>
        <v>75000</v>
      </c>
      <c r="G45" s="47">
        <f>SUMIFS(Budget!$L$5:$L$90,Budget!$Q$5:$Q$90,$A45,Budget!$R$5:$R$90,$B45)</f>
        <v>0</v>
      </c>
      <c r="H45" s="48">
        <f>SUMIFS(Budget!$M$5:$M$90,Budget!$Q$5:$Q$90,$A45,Budget!$R$5:$R$90,$B45)</f>
        <v>75000</v>
      </c>
    </row>
    <row r="46" spans="1:8">
      <c r="A46" s="49" t="s">
        <v>136</v>
      </c>
      <c r="B46" s="50"/>
      <c r="C46" s="51">
        <f t="shared" ref="C46:H46" si="1">SUM(C29:C45)</f>
        <v>393.5</v>
      </c>
      <c r="D46" s="52">
        <f t="shared" si="1"/>
        <v>40319072</v>
      </c>
      <c r="E46" s="51">
        <f t="shared" si="1"/>
        <v>393.5</v>
      </c>
      <c r="F46" s="52">
        <f t="shared" si="1"/>
        <v>40912570.049999997</v>
      </c>
      <c r="G46" s="51">
        <f t="shared" si="1"/>
        <v>393.5</v>
      </c>
      <c r="H46" s="53">
        <f t="shared" si="1"/>
        <v>41534903.002499998</v>
      </c>
    </row>
  </sheetData>
  <sheetProtection algorithmName="SHA-512" hashValue="qqFcvYEajH/9jMM2LZDKPojsEghYaf2ED6P49ryYOvanbtqOq7tHkEvZYMBrIVa8sJ1mF4sDo401QVGNVTOmEA==" saltValue="aPRWu1m1dRM03OIE9bBn1A==" spinCount="100000" sheet="1" objects="1" scenarios="1"/>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4"/>
  <sheetViews>
    <sheetView zoomScaleNormal="100" workbookViewId="0">
      <selection activeCell="A11" sqref="A11"/>
    </sheetView>
  </sheetViews>
  <sheetFormatPr defaultColWidth="12.5703125" defaultRowHeight="13.15"/>
  <cols>
    <col min="1" max="1" width="43.7109375" customWidth="1"/>
    <col min="2" max="2" width="23.28515625" customWidth="1"/>
  </cols>
  <sheetData>
    <row r="1" spans="1:9">
      <c r="A1" s="44" t="s">
        <v>149</v>
      </c>
      <c r="B1" s="44" t="s">
        <v>134</v>
      </c>
      <c r="C1" s="44" t="s">
        <v>17</v>
      </c>
      <c r="D1" s="44" t="s">
        <v>150</v>
      </c>
    </row>
    <row r="2" spans="1:9" ht="15.75" customHeight="1">
      <c r="A2" t="s">
        <v>95</v>
      </c>
      <c r="B2" t="s">
        <v>151</v>
      </c>
    </row>
    <row r="3" spans="1:9" ht="15.75" customHeight="1">
      <c r="A3" t="s">
        <v>42</v>
      </c>
      <c r="B3" t="s">
        <v>26</v>
      </c>
    </row>
    <row r="4" spans="1:9" ht="15.75" customHeight="1">
      <c r="A4" t="s">
        <v>44</v>
      </c>
      <c r="B4" t="s">
        <v>94</v>
      </c>
    </row>
    <row r="5" spans="1:9" ht="15.75" customHeight="1">
      <c r="A5" t="s">
        <v>79</v>
      </c>
      <c r="B5" t="s">
        <v>98</v>
      </c>
    </row>
    <row r="6" spans="1:9" ht="15.75" customHeight="1">
      <c r="A6" t="s">
        <v>32</v>
      </c>
      <c r="B6" t="s">
        <v>41</v>
      </c>
    </row>
    <row r="7" spans="1:9" ht="15.75" customHeight="1">
      <c r="A7" t="s">
        <v>30</v>
      </c>
      <c r="B7" t="s">
        <v>23</v>
      </c>
    </row>
    <row r="8" spans="1:9" ht="15.75" customHeight="1">
      <c r="A8" t="s">
        <v>24</v>
      </c>
      <c r="B8" t="s">
        <v>53</v>
      </c>
    </row>
    <row r="9" spans="1:9" ht="15.75" customHeight="1">
      <c r="A9" t="s">
        <v>50</v>
      </c>
      <c r="B9" t="s">
        <v>29</v>
      </c>
    </row>
    <row r="10" spans="1:9" ht="15.75" customHeight="1">
      <c r="A10" t="s">
        <v>34</v>
      </c>
      <c r="B10" t="s">
        <v>152</v>
      </c>
    </row>
    <row r="11" spans="1:9" ht="15.75" customHeight="1">
      <c r="A11" t="s">
        <v>153</v>
      </c>
      <c r="B11" t="s">
        <v>90</v>
      </c>
    </row>
    <row r="12" spans="1:9" ht="15.75" customHeight="1">
      <c r="A12" t="s">
        <v>154</v>
      </c>
    </row>
    <row r="13" spans="1:9" ht="15.75" customHeight="1">
      <c r="A13" t="s">
        <v>90</v>
      </c>
    </row>
    <row r="15" spans="1:9" ht="15.75" customHeight="1">
      <c r="A15" s="54" t="s">
        <v>155</v>
      </c>
    </row>
    <row r="16" spans="1:9" ht="15.75" customHeight="1">
      <c r="A16" s="55" t="s">
        <v>156</v>
      </c>
      <c r="G16" t="s">
        <v>157</v>
      </c>
      <c r="I16" t="s">
        <v>158</v>
      </c>
    </row>
    <row r="17" spans="1:1" ht="15.75" customHeight="1">
      <c r="A17" t="s">
        <v>159</v>
      </c>
    </row>
    <row r="18" spans="1:1" ht="15.75" customHeight="1">
      <c r="A18" t="s">
        <v>160</v>
      </c>
    </row>
    <row r="19" spans="1:1" ht="15.75" customHeight="1">
      <c r="A19" t="s">
        <v>161</v>
      </c>
    </row>
    <row r="20" spans="1:1" ht="15.75" customHeight="1">
      <c r="A20" t="s">
        <v>157</v>
      </c>
    </row>
    <row r="21" spans="1:1" ht="15.75" customHeight="1">
      <c r="A21" t="s">
        <v>162</v>
      </c>
    </row>
    <row r="22" spans="1:1" ht="15.75" customHeight="1">
      <c r="A22" t="s">
        <v>163</v>
      </c>
    </row>
    <row r="23" spans="1:1" ht="15.75" customHeight="1">
      <c r="A23" s="54" t="s">
        <v>164</v>
      </c>
    </row>
    <row r="24" spans="1:1" ht="15.75" customHeight="1">
      <c r="A24" t="s">
        <v>165</v>
      </c>
    </row>
  </sheetData>
  <sheetProtection algorithmName="SHA-512" hashValue="a6gqBwbr0n6mMXqjp2vGZ///YQ27N3EvtCheZv/Rr015ZA9O704iUqrVHfvoTZzGt2e1BohoEWbpXYtc+0IbPw==" saltValue="EgfRnggKd79/vUjT2calBg==" spinCount="100000" sheet="1" objects="1" scenarios="1"/>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zoomScaleNormal="100" workbookViewId="0">
      <selection activeCell="D1" sqref="D1"/>
    </sheetView>
  </sheetViews>
  <sheetFormatPr defaultColWidth="11.5703125" defaultRowHeight="13.15"/>
  <cols>
    <col min="1" max="1" width="38" customWidth="1"/>
    <col min="2" max="2" width="19.7109375" customWidth="1"/>
    <col min="3" max="3" width="25" customWidth="1"/>
    <col min="4" max="4" width="14.5703125" customWidth="1"/>
    <col min="5" max="5" width="18.7109375" customWidth="1"/>
    <col min="6" max="6" width="21.28515625" customWidth="1"/>
    <col min="7" max="7" width="27.7109375" customWidth="1"/>
  </cols>
  <sheetData>
    <row r="1" spans="1:13" ht="26.45">
      <c r="A1" s="44" t="s">
        <v>166</v>
      </c>
      <c r="B1" s="56" t="s">
        <v>167</v>
      </c>
      <c r="C1" s="44" t="s">
        <v>168</v>
      </c>
      <c r="D1" s="44" t="s">
        <v>15</v>
      </c>
      <c r="E1" s="44" t="s">
        <v>169</v>
      </c>
      <c r="F1" s="44" t="s">
        <v>170</v>
      </c>
      <c r="G1" s="44" t="s">
        <v>6</v>
      </c>
      <c r="L1" s="44" t="s">
        <v>17</v>
      </c>
      <c r="M1" s="44" t="s">
        <v>134</v>
      </c>
    </row>
    <row r="2" spans="1:13">
      <c r="A2" t="str">
        <f t="shared" ref="A2:A28" si="0">_xlfn.CONCAT(B2,"-",C2)</f>
        <v>Administration-Salaries - Administrator</v>
      </c>
      <c r="B2" s="39" t="s">
        <v>95</v>
      </c>
      <c r="C2" t="s">
        <v>94</v>
      </c>
      <c r="D2" t="s">
        <v>95</v>
      </c>
      <c r="E2" t="s">
        <v>171</v>
      </c>
      <c r="F2" t="str">
        <f t="shared" ref="F2:F28" si="1">VLOOKUP(E2,$L$2:$M$7,2)</f>
        <v>Professional Salaries</v>
      </c>
      <c r="G2" t="str">
        <f t="shared" ref="G2:G28" si="2">_xlfn.CONCAT(E2,"-",F2)</f>
        <v>01-Professional Salaries</v>
      </c>
      <c r="L2" t="s">
        <v>171</v>
      </c>
      <c r="M2" t="s">
        <v>172</v>
      </c>
    </row>
    <row r="3" spans="1:13">
      <c r="A3" t="str">
        <f t="shared" si="0"/>
        <v>Administration-Other</v>
      </c>
      <c r="B3" s="39" t="s">
        <v>95</v>
      </c>
      <c r="C3" t="s">
        <v>90</v>
      </c>
      <c r="D3" t="s">
        <v>95</v>
      </c>
      <c r="E3" t="s">
        <v>173</v>
      </c>
      <c r="F3" t="str">
        <f t="shared" si="1"/>
        <v>Other Expenses</v>
      </c>
      <c r="G3" t="str">
        <f t="shared" si="2"/>
        <v>06-Other Expenses</v>
      </c>
      <c r="L3" t="s">
        <v>174</v>
      </c>
      <c r="M3" t="s">
        <v>175</v>
      </c>
    </row>
    <row r="4" spans="1:13">
      <c r="A4" t="str">
        <f t="shared" si="0"/>
        <v>Administration-Contractual Services</v>
      </c>
      <c r="B4" s="39" t="s">
        <v>95</v>
      </c>
      <c r="C4" t="s">
        <v>26</v>
      </c>
      <c r="D4" t="s">
        <v>95</v>
      </c>
      <c r="E4" t="s">
        <v>176</v>
      </c>
      <c r="F4" t="str">
        <f t="shared" si="1"/>
        <v>Contracted Services</v>
      </c>
      <c r="G4" t="str">
        <f t="shared" si="2"/>
        <v>04-Contracted Services</v>
      </c>
      <c r="L4" t="s">
        <v>177</v>
      </c>
      <c r="M4" t="s">
        <v>178</v>
      </c>
    </row>
    <row r="5" spans="1:13" ht="26.45">
      <c r="A5" t="str">
        <f t="shared" si="0"/>
        <v>Classroom &amp; Specialist Teachers-Salaries - Instructional</v>
      </c>
      <c r="B5" s="39" t="s">
        <v>44</v>
      </c>
      <c r="C5" t="s">
        <v>41</v>
      </c>
      <c r="D5" t="s">
        <v>148</v>
      </c>
      <c r="E5" s="39" t="s">
        <v>171</v>
      </c>
      <c r="F5" t="str">
        <f t="shared" si="1"/>
        <v>Professional Salaries</v>
      </c>
      <c r="G5" t="str">
        <f t="shared" si="2"/>
        <v>01-Professional Salaries</v>
      </c>
      <c r="L5" t="s">
        <v>176</v>
      </c>
      <c r="M5" t="s">
        <v>179</v>
      </c>
    </row>
    <row r="6" spans="1:13" ht="26.45">
      <c r="A6" t="str">
        <f t="shared" si="0"/>
        <v>Classroom &amp; Specialist Teachers-Stipends</v>
      </c>
      <c r="B6" s="39" t="s">
        <v>44</v>
      </c>
      <c r="C6" t="s">
        <v>53</v>
      </c>
      <c r="D6" t="s">
        <v>148</v>
      </c>
      <c r="E6" s="39" t="s">
        <v>171</v>
      </c>
      <c r="F6" t="str">
        <f t="shared" si="1"/>
        <v>Professional Salaries</v>
      </c>
      <c r="G6" t="str">
        <f t="shared" si="2"/>
        <v>01-Professional Salaries</v>
      </c>
      <c r="L6" t="s">
        <v>180</v>
      </c>
      <c r="M6" t="s">
        <v>29</v>
      </c>
    </row>
    <row r="7" spans="1:13" ht="26.45">
      <c r="A7" t="str">
        <f t="shared" si="0"/>
        <v>Classroom &amp; Specialist Teachers-Supplies and Materials</v>
      </c>
      <c r="B7" s="39" t="s">
        <v>44</v>
      </c>
      <c r="C7" t="s">
        <v>29</v>
      </c>
      <c r="D7" t="s">
        <v>148</v>
      </c>
      <c r="E7" s="39" t="s">
        <v>180</v>
      </c>
      <c r="F7" t="str">
        <f t="shared" si="1"/>
        <v>Supplies and Materials</v>
      </c>
      <c r="G7" t="str">
        <f t="shared" si="2"/>
        <v>05-Supplies and Materials</v>
      </c>
      <c r="L7" t="s">
        <v>173</v>
      </c>
      <c r="M7" t="s">
        <v>181</v>
      </c>
    </row>
    <row r="8" spans="1:13" ht="26.45">
      <c r="A8" t="str">
        <f t="shared" si="0"/>
        <v>Classroom &amp; Specialist Teachers-Other</v>
      </c>
      <c r="B8" s="39" t="s">
        <v>44</v>
      </c>
      <c r="C8" t="s">
        <v>90</v>
      </c>
      <c r="D8" t="s">
        <v>148</v>
      </c>
      <c r="E8" s="39" t="s">
        <v>173</v>
      </c>
      <c r="F8" t="str">
        <f t="shared" si="1"/>
        <v>Other Expenses</v>
      </c>
      <c r="G8" t="str">
        <f t="shared" si="2"/>
        <v>06-Other Expenses</v>
      </c>
    </row>
    <row r="9" spans="1:13" ht="39.6">
      <c r="A9" t="str">
        <f t="shared" si="0"/>
        <v>Guidance and Psychological-Contractual Services</v>
      </c>
      <c r="B9" s="39" t="s">
        <v>24</v>
      </c>
      <c r="C9" t="s">
        <v>26</v>
      </c>
      <c r="D9" s="39" t="s">
        <v>140</v>
      </c>
      <c r="E9" s="39" t="s">
        <v>176</v>
      </c>
      <c r="F9" t="str">
        <f t="shared" si="1"/>
        <v>Contracted Services</v>
      </c>
      <c r="G9" t="str">
        <f t="shared" si="2"/>
        <v>04-Contracted Services</v>
      </c>
    </row>
    <row r="10" spans="1:13" ht="39.6">
      <c r="A10" t="str">
        <f t="shared" si="0"/>
        <v>Guidance and Psychological-Salaries - Other</v>
      </c>
      <c r="B10" s="39" t="s">
        <v>24</v>
      </c>
      <c r="C10" t="s">
        <v>23</v>
      </c>
      <c r="D10" s="39" t="s">
        <v>140</v>
      </c>
      <c r="E10" s="39" t="s">
        <v>171</v>
      </c>
      <c r="F10" t="str">
        <f t="shared" si="1"/>
        <v>Professional Salaries</v>
      </c>
      <c r="G10" t="str">
        <f t="shared" si="2"/>
        <v>01-Professional Salaries</v>
      </c>
    </row>
    <row r="11" spans="1:13">
      <c r="A11" t="str">
        <f t="shared" si="0"/>
        <v>Instruction Leadership-Salaries - Instructional</v>
      </c>
      <c r="B11" s="39" t="s">
        <v>42</v>
      </c>
      <c r="C11" t="s">
        <v>41</v>
      </c>
      <c r="D11" t="s">
        <v>141</v>
      </c>
      <c r="E11" s="39" t="s">
        <v>171</v>
      </c>
      <c r="F11" t="str">
        <f t="shared" si="1"/>
        <v>Professional Salaries</v>
      </c>
      <c r="G11" t="str">
        <f t="shared" si="2"/>
        <v>01-Professional Salaries</v>
      </c>
    </row>
    <row r="12" spans="1:13">
      <c r="A12" t="str">
        <f t="shared" si="0"/>
        <v>Instruction Leadership-Stipends</v>
      </c>
      <c r="B12" s="39" t="s">
        <v>42</v>
      </c>
      <c r="C12" t="s">
        <v>53</v>
      </c>
      <c r="D12" t="s">
        <v>141</v>
      </c>
      <c r="E12" s="39" t="s">
        <v>171</v>
      </c>
      <c r="F12" t="str">
        <f t="shared" si="1"/>
        <v>Professional Salaries</v>
      </c>
      <c r="G12" t="str">
        <f t="shared" si="2"/>
        <v>01-Professional Salaries</v>
      </c>
    </row>
    <row r="13" spans="1:13" ht="52.9">
      <c r="A13" t="str">
        <f t="shared" si="0"/>
        <v>Instructional Materials, Equip., and Tech.-Contractual Services</v>
      </c>
      <c r="B13" s="39" t="s">
        <v>30</v>
      </c>
      <c r="C13" t="s">
        <v>26</v>
      </c>
      <c r="D13" s="39" t="s">
        <v>142</v>
      </c>
      <c r="E13" s="39" t="s">
        <v>173</v>
      </c>
      <c r="F13" t="str">
        <f t="shared" si="1"/>
        <v>Other Expenses</v>
      </c>
      <c r="G13" t="str">
        <f t="shared" si="2"/>
        <v>06-Other Expenses</v>
      </c>
    </row>
    <row r="14" spans="1:13" ht="52.9">
      <c r="A14" t="str">
        <f t="shared" si="0"/>
        <v>Instructional Materials, Equip., and Tech.-Operations and Management</v>
      </c>
      <c r="B14" s="39" t="s">
        <v>30</v>
      </c>
      <c r="C14" t="s">
        <v>182</v>
      </c>
      <c r="D14" s="39" t="s">
        <v>142</v>
      </c>
      <c r="E14" s="39" t="s">
        <v>180</v>
      </c>
      <c r="F14" t="str">
        <f t="shared" si="1"/>
        <v>Supplies and Materials</v>
      </c>
      <c r="G14" t="str">
        <f t="shared" si="2"/>
        <v>05-Supplies and Materials</v>
      </c>
    </row>
    <row r="15" spans="1:13" ht="52.9">
      <c r="A15" t="str">
        <f t="shared" si="0"/>
        <v>Instructional Materials, Equip., and Tech.-Supplies and Materials</v>
      </c>
      <c r="B15" s="39" t="s">
        <v>30</v>
      </c>
      <c r="C15" t="s">
        <v>29</v>
      </c>
      <c r="D15" s="39" t="s">
        <v>142</v>
      </c>
      <c r="E15" s="39" t="s">
        <v>180</v>
      </c>
      <c r="F15" t="str">
        <f t="shared" si="1"/>
        <v>Supplies and Materials</v>
      </c>
      <c r="G15" t="str">
        <f t="shared" si="2"/>
        <v>05-Supplies and Materials</v>
      </c>
    </row>
    <row r="16" spans="1:13" ht="26.45">
      <c r="A16" t="str">
        <f t="shared" si="0"/>
        <v>Operations and Maintenance-Other</v>
      </c>
      <c r="B16" s="39" t="s">
        <v>34</v>
      </c>
      <c r="C16" t="s">
        <v>90</v>
      </c>
      <c r="D16" s="39" t="s">
        <v>145</v>
      </c>
      <c r="E16" s="39" t="s">
        <v>173</v>
      </c>
      <c r="F16" t="str">
        <f t="shared" si="1"/>
        <v>Other Expenses</v>
      </c>
      <c r="G16" t="str">
        <f t="shared" si="2"/>
        <v>06-Other Expenses</v>
      </c>
    </row>
    <row r="17" spans="1:9" ht="26.45">
      <c r="A17" t="str">
        <f t="shared" si="0"/>
        <v>Operations and Maintenance-Supplies and Materials</v>
      </c>
      <c r="B17" s="39" t="s">
        <v>34</v>
      </c>
      <c r="C17" t="s">
        <v>29</v>
      </c>
      <c r="D17" s="39" t="s">
        <v>145</v>
      </c>
      <c r="E17" s="39" t="s">
        <v>180</v>
      </c>
      <c r="F17" t="str">
        <f t="shared" si="1"/>
        <v>Supplies and Materials</v>
      </c>
      <c r="G17" t="str">
        <f t="shared" si="2"/>
        <v>05-Supplies and Materials</v>
      </c>
    </row>
    <row r="18" spans="1:9">
      <c r="A18" t="str">
        <f t="shared" si="0"/>
        <v>Other-Capital Expenditures</v>
      </c>
      <c r="B18" s="39" t="s">
        <v>90</v>
      </c>
      <c r="C18" t="s">
        <v>151</v>
      </c>
      <c r="D18" t="s">
        <v>183</v>
      </c>
      <c r="E18" s="39" t="s">
        <v>173</v>
      </c>
      <c r="F18" t="str">
        <f t="shared" si="1"/>
        <v>Other Expenses</v>
      </c>
      <c r="G18" t="str">
        <f t="shared" si="2"/>
        <v>06-Other Expenses</v>
      </c>
    </row>
    <row r="19" spans="1:9">
      <c r="A19" t="str">
        <f t="shared" si="0"/>
        <v>Other-Contractual Services</v>
      </c>
      <c r="B19" s="39" t="s">
        <v>90</v>
      </c>
      <c r="C19" t="s">
        <v>26</v>
      </c>
      <c r="D19" t="s">
        <v>183</v>
      </c>
      <c r="E19" s="39" t="s">
        <v>176</v>
      </c>
      <c r="F19" t="str">
        <f t="shared" si="1"/>
        <v>Contracted Services</v>
      </c>
      <c r="G19" t="str">
        <f t="shared" si="2"/>
        <v>04-Contracted Services</v>
      </c>
    </row>
    <row r="20" spans="1:9">
      <c r="A20" t="str">
        <f t="shared" si="0"/>
        <v>Other-Other</v>
      </c>
      <c r="B20" s="39" t="s">
        <v>90</v>
      </c>
      <c r="C20" t="s">
        <v>90</v>
      </c>
      <c r="D20" t="s">
        <v>183</v>
      </c>
      <c r="E20" s="39" t="s">
        <v>173</v>
      </c>
      <c r="F20" t="str">
        <f t="shared" si="1"/>
        <v>Other Expenses</v>
      </c>
      <c r="G20" t="str">
        <f t="shared" si="2"/>
        <v>06-Other Expenses</v>
      </c>
    </row>
    <row r="21" spans="1:9">
      <c r="A21" t="str">
        <f t="shared" si="0"/>
        <v>Other-Salaries - Other</v>
      </c>
      <c r="B21" s="39" t="s">
        <v>90</v>
      </c>
      <c r="C21" t="s">
        <v>23</v>
      </c>
      <c r="D21" t="s">
        <v>183</v>
      </c>
      <c r="E21" s="39" t="s">
        <v>177</v>
      </c>
      <c r="F21" t="str">
        <f t="shared" si="1"/>
        <v>Other Salaries</v>
      </c>
      <c r="G21" t="str">
        <f t="shared" si="2"/>
        <v>03-Other Salaries</v>
      </c>
    </row>
    <row r="22" spans="1:9" ht="26.45">
      <c r="A22" t="str">
        <f t="shared" si="0"/>
        <v>Other Teaching Services-Contractual Services</v>
      </c>
      <c r="B22" s="39" t="s">
        <v>79</v>
      </c>
      <c r="C22" t="s">
        <v>26</v>
      </c>
      <c r="D22" s="39" t="s">
        <v>79</v>
      </c>
      <c r="E22" s="39" t="s">
        <v>176</v>
      </c>
      <c r="F22" t="str">
        <f t="shared" si="1"/>
        <v>Contracted Services</v>
      </c>
      <c r="G22" t="str">
        <f t="shared" si="2"/>
        <v>04-Contracted Services</v>
      </c>
    </row>
    <row r="23" spans="1:9" ht="26.45">
      <c r="A23" t="str">
        <f t="shared" si="0"/>
        <v>Other Teaching Services-Salaries - Clerical/Support</v>
      </c>
      <c r="B23" s="39" t="s">
        <v>79</v>
      </c>
      <c r="C23" t="s">
        <v>98</v>
      </c>
      <c r="D23" s="39" t="s">
        <v>79</v>
      </c>
      <c r="E23" s="39" t="s">
        <v>174</v>
      </c>
      <c r="F23" t="str">
        <f t="shared" si="1"/>
        <v>Clerical Salaries</v>
      </c>
      <c r="G23" t="str">
        <f t="shared" si="2"/>
        <v>02-Clerical Salaries</v>
      </c>
    </row>
    <row r="24" spans="1:9" ht="26.45">
      <c r="A24" t="str">
        <f t="shared" si="0"/>
        <v>Other Teaching Services-Salaries - Other</v>
      </c>
      <c r="B24" s="39" t="s">
        <v>79</v>
      </c>
      <c r="C24" t="s">
        <v>23</v>
      </c>
      <c r="D24" s="39" t="s">
        <v>79</v>
      </c>
      <c r="E24" s="39" t="s">
        <v>177</v>
      </c>
      <c r="F24" t="str">
        <f t="shared" si="1"/>
        <v>Other Salaries</v>
      </c>
      <c r="G24" t="str">
        <f t="shared" si="2"/>
        <v>03-Other Salaries</v>
      </c>
    </row>
    <row r="25" spans="1:9" ht="26.45">
      <c r="A25" t="str">
        <f t="shared" si="0"/>
        <v>Professional Development-Contractual Services</v>
      </c>
      <c r="B25" s="39" t="s">
        <v>32</v>
      </c>
      <c r="C25" t="s">
        <v>26</v>
      </c>
      <c r="D25" t="s">
        <v>32</v>
      </c>
      <c r="E25" s="39" t="s">
        <v>176</v>
      </c>
      <c r="F25" t="str">
        <f t="shared" si="1"/>
        <v>Contracted Services</v>
      </c>
      <c r="G25" t="str">
        <f t="shared" si="2"/>
        <v>04-Contracted Services</v>
      </c>
    </row>
    <row r="26" spans="1:9">
      <c r="A26" t="str">
        <f t="shared" si="0"/>
        <v>Pupil Services-Salaries - Other</v>
      </c>
      <c r="B26" s="39" t="s">
        <v>50</v>
      </c>
      <c r="C26" t="s">
        <v>23</v>
      </c>
      <c r="D26" s="39" t="s">
        <v>50</v>
      </c>
      <c r="E26" s="39" t="s">
        <v>177</v>
      </c>
      <c r="F26" t="str">
        <f t="shared" si="1"/>
        <v>Other Salaries</v>
      </c>
      <c r="G26" t="str">
        <f t="shared" si="2"/>
        <v>03-Other Salaries</v>
      </c>
    </row>
    <row r="27" spans="1:9" ht="26.45">
      <c r="A27" t="str">
        <f t="shared" si="0"/>
        <v>Benefits and Fixed Charges -Contractual Services</v>
      </c>
      <c r="B27" s="39" t="s">
        <v>36</v>
      </c>
      <c r="C27" t="s">
        <v>26</v>
      </c>
      <c r="D27" s="39" t="s">
        <v>36</v>
      </c>
      <c r="E27" t="s">
        <v>176</v>
      </c>
      <c r="F27" t="str">
        <f t="shared" si="1"/>
        <v>Contracted Services</v>
      </c>
      <c r="G27" t="str">
        <f t="shared" si="2"/>
        <v>04-Contracted Services</v>
      </c>
      <c r="I27" t="b">
        <f>A24=Budget!P47</f>
        <v>1</v>
      </c>
    </row>
    <row r="28" spans="1:9" ht="26.45">
      <c r="A28" t="str">
        <f t="shared" si="0"/>
        <v>Other Teaching Services-Salaries - Other</v>
      </c>
      <c r="B28" s="39" t="s">
        <v>79</v>
      </c>
      <c r="C28" t="s">
        <v>23</v>
      </c>
      <c r="D28" t="s">
        <v>79</v>
      </c>
      <c r="E28" t="s">
        <v>177</v>
      </c>
      <c r="F28" t="str">
        <f t="shared" si="1"/>
        <v>Other Salaries</v>
      </c>
      <c r="G28" t="str">
        <f t="shared" si="2"/>
        <v>03-Other Salaries</v>
      </c>
    </row>
  </sheetData>
  <sheetProtection algorithmName="SHA-512" hashValue="Qm/CtFjwTYdagGaHE4y7ZWBAY0w7IJWisMe7ks66bp+24OtNB9vjdiOfHRfw6/yUBHu8dcm8E3/Ha+RQ9px82A==" saltValue="lOIoodXyG1euZgsRFY4OKQ=="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
  <sheetViews>
    <sheetView zoomScaleNormal="100" workbookViewId="0">
      <selection activeCell="I13" sqref="I13"/>
    </sheetView>
  </sheetViews>
  <sheetFormatPr defaultColWidth="11.5703125" defaultRowHeight="13.15"/>
  <cols>
    <col min="2" max="2" width="13.28515625" customWidth="1"/>
    <col min="3" max="3" width="14.5703125" customWidth="1"/>
    <col min="7" max="7" width="42.28515625" customWidth="1"/>
    <col min="13" max="14" width="11.5703125" hidden="1"/>
  </cols>
  <sheetData>
    <row r="1" spans="1:14">
      <c r="A1" s="44" t="s">
        <v>133</v>
      </c>
      <c r="B1" s="44" t="s">
        <v>184</v>
      </c>
      <c r="C1" s="44" t="s">
        <v>185</v>
      </c>
      <c r="D1" s="44" t="s">
        <v>17</v>
      </c>
      <c r="E1" s="44" t="s">
        <v>134</v>
      </c>
      <c r="F1" s="44" t="s">
        <v>186</v>
      </c>
      <c r="G1" s="44" t="s">
        <v>187</v>
      </c>
      <c r="M1" s="44" t="s">
        <v>17</v>
      </c>
      <c r="N1" s="44" t="s">
        <v>134</v>
      </c>
    </row>
    <row r="2" spans="1:14" ht="26.45">
      <c r="A2" t="s">
        <v>95</v>
      </c>
      <c r="B2">
        <v>1110</v>
      </c>
      <c r="C2" s="39" t="s">
        <v>188</v>
      </c>
      <c r="D2" t="s">
        <v>174</v>
      </c>
      <c r="E2" s="39" t="str">
        <f t="shared" ref="E2:E11" si="0">VLOOKUP(D2,$M$2:$N$7,2)</f>
        <v>Clerical Salaries</v>
      </c>
      <c r="F2" t="str">
        <f t="shared" ref="F2:F11" si="1">_xlfn.CONCAT(B2,"-",D2)</f>
        <v>1110-02</v>
      </c>
      <c r="G2" t="str">
        <f t="shared" ref="G2:G11" si="2">_xlfn.CONCAT(B2,"-",C2," ", D2, "-",E2)</f>
        <v>1110-School Committee  02-Clerical Salaries</v>
      </c>
      <c r="M2" t="s">
        <v>171</v>
      </c>
      <c r="N2" t="s">
        <v>172</v>
      </c>
    </row>
    <row r="3" spans="1:14" ht="26.45">
      <c r="A3" t="s">
        <v>95</v>
      </c>
      <c r="B3">
        <v>1110</v>
      </c>
      <c r="C3" s="39" t="s">
        <v>188</v>
      </c>
      <c r="D3" t="s">
        <v>177</v>
      </c>
      <c r="E3" s="39" t="str">
        <f t="shared" si="0"/>
        <v>Other Salaries</v>
      </c>
      <c r="F3" t="str">
        <f t="shared" si="1"/>
        <v>1110-03</v>
      </c>
      <c r="G3" t="str">
        <f t="shared" si="2"/>
        <v>1110-School Committee  03-Other Salaries</v>
      </c>
      <c r="M3" t="s">
        <v>174</v>
      </c>
      <c r="N3" t="s">
        <v>175</v>
      </c>
    </row>
    <row r="4" spans="1:14" ht="26.45">
      <c r="A4" t="s">
        <v>95</v>
      </c>
      <c r="B4">
        <v>1110</v>
      </c>
      <c r="C4" s="39" t="s">
        <v>188</v>
      </c>
      <c r="D4" t="s">
        <v>176</v>
      </c>
      <c r="E4" s="39" t="str">
        <f t="shared" si="0"/>
        <v>Contracted Services</v>
      </c>
      <c r="F4" t="str">
        <f t="shared" si="1"/>
        <v>1110-04</v>
      </c>
      <c r="G4" t="str">
        <f t="shared" si="2"/>
        <v>1110-School Committee  04-Contracted Services</v>
      </c>
      <c r="M4" t="s">
        <v>177</v>
      </c>
      <c r="N4" t="s">
        <v>178</v>
      </c>
    </row>
    <row r="5" spans="1:14" ht="26.45">
      <c r="A5" t="s">
        <v>95</v>
      </c>
      <c r="B5">
        <v>1110</v>
      </c>
      <c r="C5" s="39" t="s">
        <v>188</v>
      </c>
      <c r="D5" t="s">
        <v>180</v>
      </c>
      <c r="E5" s="39" t="str">
        <f t="shared" si="0"/>
        <v>Supplies and Materials</v>
      </c>
      <c r="F5" t="str">
        <f t="shared" si="1"/>
        <v>1110-05</v>
      </c>
      <c r="G5" t="str">
        <f t="shared" si="2"/>
        <v>1110-School Committee  05-Supplies and Materials</v>
      </c>
      <c r="M5" t="s">
        <v>176</v>
      </c>
      <c r="N5" t="s">
        <v>179</v>
      </c>
    </row>
    <row r="6" spans="1:14" ht="26.45">
      <c r="A6" t="s">
        <v>95</v>
      </c>
      <c r="B6">
        <v>1110</v>
      </c>
      <c r="C6" s="39" t="s">
        <v>188</v>
      </c>
      <c r="D6" t="s">
        <v>173</v>
      </c>
      <c r="E6" s="39" t="str">
        <f t="shared" si="0"/>
        <v>Other Expenses</v>
      </c>
      <c r="F6" t="str">
        <f t="shared" si="1"/>
        <v>1110-06</v>
      </c>
      <c r="G6" t="str">
        <f t="shared" si="2"/>
        <v>1110-School Committee  06-Other Expenses</v>
      </c>
      <c r="M6" t="s">
        <v>180</v>
      </c>
      <c r="N6" t="s">
        <v>29</v>
      </c>
    </row>
    <row r="7" spans="1:14" ht="26.45">
      <c r="A7" t="s">
        <v>95</v>
      </c>
      <c r="B7" s="39">
        <v>1210</v>
      </c>
      <c r="C7" s="39" t="s">
        <v>189</v>
      </c>
      <c r="D7" t="s">
        <v>174</v>
      </c>
      <c r="E7" s="39" t="str">
        <f t="shared" si="0"/>
        <v>Clerical Salaries</v>
      </c>
      <c r="F7" t="str">
        <f t="shared" si="1"/>
        <v>1210-02</v>
      </c>
      <c r="G7" t="str">
        <f t="shared" si="2"/>
        <v>1210-Superintendent  02-Clerical Salaries</v>
      </c>
      <c r="M7" t="s">
        <v>173</v>
      </c>
      <c r="N7" t="s">
        <v>181</v>
      </c>
    </row>
    <row r="8" spans="1:14" ht="26.45">
      <c r="A8" t="s">
        <v>95</v>
      </c>
      <c r="B8" s="39">
        <v>1210</v>
      </c>
      <c r="C8" s="39" t="s">
        <v>189</v>
      </c>
      <c r="D8" t="s">
        <v>177</v>
      </c>
      <c r="E8" s="39" t="str">
        <f t="shared" si="0"/>
        <v>Other Salaries</v>
      </c>
      <c r="F8" t="str">
        <f t="shared" si="1"/>
        <v>1210-03</v>
      </c>
      <c r="G8" t="str">
        <f t="shared" si="2"/>
        <v>1210-Superintendent  03-Other Salaries</v>
      </c>
    </row>
    <row r="9" spans="1:14" ht="26.45">
      <c r="A9" t="s">
        <v>95</v>
      </c>
      <c r="B9" s="39">
        <v>1210</v>
      </c>
      <c r="C9" s="39" t="s">
        <v>189</v>
      </c>
      <c r="D9" t="s">
        <v>176</v>
      </c>
      <c r="E9" s="39" t="str">
        <f t="shared" si="0"/>
        <v>Contracted Services</v>
      </c>
      <c r="F9" t="str">
        <f t="shared" si="1"/>
        <v>1210-04</v>
      </c>
      <c r="G9" t="str">
        <f t="shared" si="2"/>
        <v>1210-Superintendent  04-Contracted Services</v>
      </c>
    </row>
    <row r="10" spans="1:14" ht="26.45">
      <c r="A10" t="s">
        <v>95</v>
      </c>
      <c r="B10" s="39">
        <v>1210</v>
      </c>
      <c r="C10" s="39" t="s">
        <v>189</v>
      </c>
      <c r="D10" t="s">
        <v>180</v>
      </c>
      <c r="E10" s="39" t="str">
        <f t="shared" si="0"/>
        <v>Supplies and Materials</v>
      </c>
      <c r="F10" t="str">
        <f t="shared" si="1"/>
        <v>1210-05</v>
      </c>
      <c r="G10" t="str">
        <f t="shared" si="2"/>
        <v>1210-Superintendent  05-Supplies and Materials</v>
      </c>
    </row>
    <row r="11" spans="1:14" ht="26.45">
      <c r="A11" t="s">
        <v>95</v>
      </c>
      <c r="B11" s="39">
        <v>1210</v>
      </c>
      <c r="C11" s="39" t="s">
        <v>189</v>
      </c>
      <c r="D11" t="s">
        <v>173</v>
      </c>
      <c r="E11" s="39" t="str">
        <f t="shared" si="0"/>
        <v>Other Expenses</v>
      </c>
      <c r="F11" t="str">
        <f t="shared" si="1"/>
        <v>1210-06</v>
      </c>
      <c r="G11" t="str">
        <f t="shared" si="2"/>
        <v>1210-Superintendent  06-Other Expenses</v>
      </c>
    </row>
    <row r="12" spans="1:14">
      <c r="B12" s="39"/>
      <c r="C12" s="39"/>
    </row>
  </sheetData>
  <sheetProtection algorithmName="SHA-512" hashValue="6W3GXQjyxDTFG1J68gazTCPGhMHDdKEFEDO14NJPZvAMF9HB41acQKx3Kl1yio7oTgUhEeKPc9mRTD3J/SoBsg==" saltValue="1sse8aUtnSX2BE+gwSXpNw=="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282FDC-1EF7-4B60-A525-740DD1ABCDB6}"/>
</file>

<file path=customXml/itemProps2.xml><?xml version="1.0" encoding="utf-8"?>
<ds:datastoreItem xmlns:ds="http://schemas.openxmlformats.org/officeDocument/2006/customXml" ds:itemID="{2E3A9C3E-4AD1-4715-A76B-4406CCB79326}"/>
</file>

<file path=customXml/itemProps3.xml><?xml version="1.0" encoding="utf-8"?>
<ds:datastoreItem xmlns:ds="http://schemas.openxmlformats.org/officeDocument/2006/customXml" ds:itemID="{229E0F62-0F9A-4186-88A5-15252709B7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Foley, Kinnon (DESE)</dc:creator>
  <cp:keywords/>
  <dc:description/>
  <cp:lastModifiedBy>Foley, Kinnon (DESE)</cp:lastModifiedBy>
  <cp:revision>5</cp:revision>
  <dcterms:created xsi:type="dcterms:W3CDTF">2023-12-11T19:11:32Z</dcterms:created>
  <dcterms:modified xsi:type="dcterms:W3CDTF">2024-04-04T14:50:33Z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ies>
</file>