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defaultThemeVersion="166925"/>
  <mc:AlternateContent xmlns:mc="http://schemas.openxmlformats.org/markup-compatibility/2006">
    <mc:Choice Requires="x15">
      <x15ac:absPath xmlns:x15ac="http://schemas.microsoft.com/office/spreadsheetml/2010/11/ac" url="https://massgov.sharepoint.com/sites/doe-soa/FY24 SOA Workstreams/FY24 Plan Review Process/FY24 Priority District Review/SOA Addendum Submissions/"/>
    </mc:Choice>
  </mc:AlternateContent>
  <xr:revisionPtr revIDLastSave="70" documentId="11_176740641036E267CF8292AEDF2E82BDC9045EEF" xr6:coauthVersionLast="47" xr6:coauthVersionMax="47" xr10:uidLastSave="{BEAAEEE9-9C80-4FFA-9C17-241AA9FCE4E6}"/>
  <workbookProtection workbookAlgorithmName="SHA-512" workbookHashValue="qKmfk8ENnVpDESwQ/m/JfVPqGOsaywSnd617Img4EBtxGmUagILvWR89OlccYYGtLGsmTuMWGFxclEPfIjD18g==" workbookSaltValue="nCnKwk5Bl1sbIPuTXdV5CQ==" workbookSpinCount="100000" lockStructure="1"/>
  <bookViews>
    <workbookView xWindow="-110" yWindow="-110" windowWidth="19420" windowHeight="10420" tabRatio="500" firstSheet="1" activeTab="1" xr2:uid="{00000000-000D-0000-FFFF-FFFF00000000}"/>
  </bookViews>
  <sheets>
    <sheet name="Narrative Question" sheetId="1" r:id="rId1"/>
    <sheet name="Budget" sheetId="2" r:id="rId2"/>
    <sheet name="Summary" sheetId="4" state="hidden" r:id="rId3"/>
    <sheet name="DESE Codes" sheetId="5" state="hidden" r:id="rId4"/>
    <sheet name="Short Crosswalk" sheetId="6" state="hidden" r:id="rId5"/>
    <sheet name="Full Crosswalk" sheetId="7" state="hidden" r:id="rId6"/>
  </sheets>
  <definedNames>
    <definedName name="_xlnm.Print_Area" localSheetId="1">Budget!$B$2:$I$92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61" i="2" l="1"/>
  <c r="M60" i="2"/>
  <c r="I54" i="2"/>
  <c r="K54" i="2" s="1"/>
  <c r="I53" i="2"/>
  <c r="K53" i="2" s="1"/>
  <c r="M53" i="2" s="1"/>
  <c r="I23" i="2"/>
  <c r="K87" i="2" l="1"/>
  <c r="M87" i="2" s="1"/>
  <c r="K78" i="2"/>
  <c r="M78" i="2" s="1"/>
  <c r="I74" i="2"/>
  <c r="K74" i="2" s="1"/>
  <c r="M74" i="2" s="1"/>
  <c r="M54" i="2"/>
  <c r="K47" i="2"/>
  <c r="M47" i="2" s="1"/>
  <c r="K42" i="2"/>
  <c r="M42" i="2" s="1"/>
  <c r="I42" i="2"/>
  <c r="I30" i="2"/>
  <c r="K30" i="2" s="1"/>
  <c r="M30" i="2" s="1"/>
  <c r="I18" i="2"/>
  <c r="K18" i="2" s="1"/>
  <c r="M18" i="2" s="1"/>
  <c r="K23" i="2"/>
  <c r="M23" i="2" s="1"/>
  <c r="K12" i="2"/>
  <c r="M12" i="2" s="1"/>
  <c r="I13" i="2"/>
  <c r="K13" i="2" s="1"/>
  <c r="M13" i="2" s="1"/>
  <c r="M10" i="2"/>
  <c r="K10" i="2"/>
  <c r="I10" i="2"/>
  <c r="K5" i="2"/>
  <c r="M5" i="2" s="1"/>
  <c r="K8" i="2"/>
  <c r="M8" i="2" s="1"/>
  <c r="K6" i="2"/>
  <c r="M6" i="2" s="1"/>
  <c r="L35" i="2" l="1"/>
  <c r="J35" i="2"/>
  <c r="H35" i="2"/>
  <c r="F11" i="7"/>
  <c r="E11" i="7"/>
  <c r="G11" i="7" s="1"/>
  <c r="F10" i="7"/>
  <c r="E10" i="7"/>
  <c r="G10" i="7" s="1"/>
  <c r="F9" i="7"/>
  <c r="E9" i="7"/>
  <c r="G9" i="7" s="1"/>
  <c r="F8" i="7"/>
  <c r="E8" i="7"/>
  <c r="G8" i="7" s="1"/>
  <c r="F7" i="7"/>
  <c r="E7" i="7"/>
  <c r="G7" i="7" s="1"/>
  <c r="F6" i="7"/>
  <c r="E6" i="7"/>
  <c r="G6" i="7" s="1"/>
  <c r="F5" i="7"/>
  <c r="E5" i="7"/>
  <c r="G5" i="7" s="1"/>
  <c r="F4" i="7"/>
  <c r="E4" i="7"/>
  <c r="G4" i="7" s="1"/>
  <c r="F3" i="7"/>
  <c r="E3" i="7"/>
  <c r="G3" i="7" s="1"/>
  <c r="F2" i="7"/>
  <c r="E2" i="7"/>
  <c r="G2" i="7" s="1"/>
  <c r="F28" i="6"/>
  <c r="G28" i="6" s="1"/>
  <c r="A28" i="6"/>
  <c r="F27" i="6"/>
  <c r="G27" i="6" s="1"/>
  <c r="A27" i="6"/>
  <c r="F26" i="6"/>
  <c r="G26" i="6" s="1"/>
  <c r="A26" i="6"/>
  <c r="F25" i="6"/>
  <c r="G25" i="6" s="1"/>
  <c r="A25" i="6"/>
  <c r="F24" i="6"/>
  <c r="G24" i="6" s="1"/>
  <c r="A24" i="6"/>
  <c r="F23" i="6"/>
  <c r="G23" i="6" s="1"/>
  <c r="A23" i="6"/>
  <c r="F22" i="6"/>
  <c r="G22" i="6" s="1"/>
  <c r="A22" i="6"/>
  <c r="F21" i="6"/>
  <c r="G21" i="6" s="1"/>
  <c r="A21" i="6"/>
  <c r="F20" i="6"/>
  <c r="G20" i="6" s="1"/>
  <c r="A20" i="6"/>
  <c r="F19" i="6"/>
  <c r="G19" i="6" s="1"/>
  <c r="A19" i="6"/>
  <c r="F18" i="6"/>
  <c r="G18" i="6" s="1"/>
  <c r="A18" i="6"/>
  <c r="F17" i="6"/>
  <c r="G17" i="6" s="1"/>
  <c r="A17" i="6"/>
  <c r="F16" i="6"/>
  <c r="G16" i="6" s="1"/>
  <c r="A16" i="6"/>
  <c r="F15" i="6"/>
  <c r="G15" i="6" s="1"/>
  <c r="A15" i="6"/>
  <c r="F14" i="6"/>
  <c r="G14" i="6" s="1"/>
  <c r="A14" i="6"/>
  <c r="F13" i="6"/>
  <c r="G13" i="6" s="1"/>
  <c r="A13" i="6"/>
  <c r="F12" i="6"/>
  <c r="G12" i="6" s="1"/>
  <c r="A12" i="6"/>
  <c r="F11" i="6"/>
  <c r="G11" i="6" s="1"/>
  <c r="A11" i="6"/>
  <c r="F10" i="6"/>
  <c r="G10" i="6" s="1"/>
  <c r="A10" i="6"/>
  <c r="F9" i="6"/>
  <c r="G9" i="6" s="1"/>
  <c r="A9" i="6"/>
  <c r="F8" i="6"/>
  <c r="G8" i="6" s="1"/>
  <c r="A8" i="6"/>
  <c r="F7" i="6"/>
  <c r="G7" i="6" s="1"/>
  <c r="A7" i="6"/>
  <c r="F6" i="6"/>
  <c r="G6" i="6" s="1"/>
  <c r="A6" i="6"/>
  <c r="F5" i="6"/>
  <c r="G5" i="6" s="1"/>
  <c r="A5" i="6"/>
  <c r="F4" i="6"/>
  <c r="G4" i="6" s="1"/>
  <c r="A4" i="6"/>
  <c r="F3" i="6"/>
  <c r="G3" i="6" s="1"/>
  <c r="A3" i="6"/>
  <c r="F2" i="6"/>
  <c r="G2" i="6" s="1"/>
  <c r="A2" i="6"/>
  <c r="H22" i="4"/>
  <c r="G22" i="4"/>
  <c r="F22" i="4"/>
  <c r="E22" i="4"/>
  <c r="D22" i="4"/>
  <c r="C22" i="4"/>
  <c r="H21" i="4"/>
  <c r="G21" i="4"/>
  <c r="F21" i="4"/>
  <c r="E21" i="4"/>
  <c r="D21" i="4"/>
  <c r="C21" i="4"/>
  <c r="H20" i="4"/>
  <c r="G20" i="4"/>
  <c r="F20" i="4"/>
  <c r="E20" i="4"/>
  <c r="D20" i="4"/>
  <c r="C20" i="4"/>
  <c r="H19" i="4"/>
  <c r="G19" i="4"/>
  <c r="F19" i="4"/>
  <c r="E19" i="4"/>
  <c r="D19" i="4"/>
  <c r="C19" i="4"/>
  <c r="H18" i="4"/>
  <c r="G18" i="4"/>
  <c r="F18" i="4"/>
  <c r="E18" i="4"/>
  <c r="D18" i="4"/>
  <c r="C18"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H8" i="4"/>
  <c r="G8" i="4"/>
  <c r="F8" i="4"/>
  <c r="E8" i="4"/>
  <c r="D8" i="4"/>
  <c r="C8" i="4"/>
  <c r="H7" i="4"/>
  <c r="G7" i="4"/>
  <c r="F7" i="4"/>
  <c r="E7" i="4"/>
  <c r="D7" i="4"/>
  <c r="C7" i="4"/>
  <c r="H6" i="4"/>
  <c r="G6" i="4"/>
  <c r="F6" i="4"/>
  <c r="E6" i="4"/>
  <c r="D6" i="4"/>
  <c r="C6" i="4"/>
  <c r="H5" i="4"/>
  <c r="G5" i="4"/>
  <c r="F5" i="4"/>
  <c r="E5" i="4"/>
  <c r="D5" i="4"/>
  <c r="C5" i="4"/>
  <c r="H4" i="4"/>
  <c r="G4" i="4"/>
  <c r="F4" i="4"/>
  <c r="E4" i="4"/>
  <c r="D4" i="4"/>
  <c r="C4" i="4"/>
  <c r="T93" i="2"/>
  <c r="P93" i="2"/>
  <c r="R93" i="2" s="1"/>
  <c r="T92" i="2"/>
  <c r="P92" i="2"/>
  <c r="T91" i="2"/>
  <c r="P91" i="2"/>
  <c r="R91" i="2" s="1"/>
  <c r="M91" i="2"/>
  <c r="L91" i="2"/>
  <c r="K91" i="2"/>
  <c r="J91" i="2"/>
  <c r="I91" i="2"/>
  <c r="H91" i="2"/>
  <c r="P90" i="2"/>
  <c r="Q90" i="2" s="1"/>
  <c r="P89" i="2"/>
  <c r="R89" i="2" s="1"/>
  <c r="D89" i="2" s="1"/>
  <c r="T89" i="2" s="1"/>
  <c r="P88" i="2"/>
  <c r="R88" i="2" s="1"/>
  <c r="D88" i="2" s="1"/>
  <c r="T88" i="2" s="1"/>
  <c r="P87" i="2"/>
  <c r="Q87" i="2" s="1"/>
  <c r="T86" i="2"/>
  <c r="P86" i="2"/>
  <c r="R86" i="2" s="1"/>
  <c r="M86" i="2"/>
  <c r="K86" i="2"/>
  <c r="I86" i="2"/>
  <c r="P85" i="2"/>
  <c r="P84" i="2"/>
  <c r="P83" i="2"/>
  <c r="R83" i="2" s="1"/>
  <c r="D83" i="2" s="1"/>
  <c r="T83" i="2" s="1"/>
  <c r="T82" i="2"/>
  <c r="P82" i="2"/>
  <c r="Q82" i="2" s="1"/>
  <c r="M82" i="2"/>
  <c r="L82" i="2"/>
  <c r="K82" i="2"/>
  <c r="J82" i="2"/>
  <c r="I82" i="2"/>
  <c r="H82" i="2"/>
  <c r="P81" i="2"/>
  <c r="R81" i="2" s="1"/>
  <c r="D81" i="2" s="1"/>
  <c r="T81" i="2" s="1"/>
  <c r="P80" i="2"/>
  <c r="Q80" i="2" s="1"/>
  <c r="P79" i="2"/>
  <c r="R79" i="2" s="1"/>
  <c r="D79" i="2" s="1"/>
  <c r="T79" i="2" s="1"/>
  <c r="P78" i="2"/>
  <c r="T77" i="2"/>
  <c r="P77" i="2"/>
  <c r="Q77" i="2" s="1"/>
  <c r="M77" i="2"/>
  <c r="L77" i="2"/>
  <c r="K77" i="2"/>
  <c r="J77" i="2"/>
  <c r="I77" i="2"/>
  <c r="H77" i="2"/>
  <c r="P76" i="2"/>
  <c r="P75" i="2"/>
  <c r="Q75" i="2" s="1"/>
  <c r="P74" i="2"/>
  <c r="T73" i="2"/>
  <c r="P73" i="2"/>
  <c r="M73" i="2"/>
  <c r="L73" i="2"/>
  <c r="K73" i="2"/>
  <c r="J73" i="2"/>
  <c r="I73" i="2"/>
  <c r="H73" i="2"/>
  <c r="P72" i="2"/>
  <c r="P71" i="2"/>
  <c r="P70" i="2"/>
  <c r="P69" i="2"/>
  <c r="T68" i="2"/>
  <c r="P68" i="2"/>
  <c r="M68" i="2"/>
  <c r="K68" i="2"/>
  <c r="I68" i="2"/>
  <c r="P67" i="2"/>
  <c r="P66" i="2"/>
  <c r="T65" i="2"/>
  <c r="P65" i="2"/>
  <c r="Q65" i="2" s="1"/>
  <c r="M65" i="2"/>
  <c r="L65" i="2"/>
  <c r="K65" i="2"/>
  <c r="J65" i="2"/>
  <c r="I65" i="2"/>
  <c r="H65" i="2"/>
  <c r="P64" i="2"/>
  <c r="P63" i="2"/>
  <c r="P62" i="2"/>
  <c r="P61" i="2"/>
  <c r="P60" i="2"/>
  <c r="Q60" i="2" s="1"/>
  <c r="C60" i="2" s="1"/>
  <c r="P59" i="2"/>
  <c r="R59" i="2" s="1"/>
  <c r="D59" i="2" s="1"/>
  <c r="T59" i="2" s="1"/>
  <c r="T58" i="2"/>
  <c r="P58" i="2"/>
  <c r="R58" i="2" s="1"/>
  <c r="M58" i="2"/>
  <c r="L58" i="2"/>
  <c r="K58" i="2"/>
  <c r="J58" i="2"/>
  <c r="I58" i="2"/>
  <c r="H58" i="2"/>
  <c r="P57" i="2"/>
  <c r="R57" i="2" s="1"/>
  <c r="D57" i="2" s="1"/>
  <c r="T57" i="2" s="1"/>
  <c r="P56" i="2"/>
  <c r="P55" i="2"/>
  <c r="P54" i="2"/>
  <c r="P53" i="2"/>
  <c r="R53" i="2" s="1"/>
  <c r="D53" i="2" s="1"/>
  <c r="T53" i="2" s="1"/>
  <c r="T52" i="2"/>
  <c r="P52" i="2"/>
  <c r="R52" i="2" s="1"/>
  <c r="M52" i="2"/>
  <c r="L52" i="2"/>
  <c r="K52" i="2"/>
  <c r="J52" i="2"/>
  <c r="I52" i="2"/>
  <c r="H52" i="2"/>
  <c r="P51" i="2"/>
  <c r="P50" i="2"/>
  <c r="P49" i="2"/>
  <c r="R49" i="2" s="1"/>
  <c r="D49" i="2" s="1"/>
  <c r="T49" i="2" s="1"/>
  <c r="P48" i="2"/>
  <c r="R48" i="2" s="1"/>
  <c r="D48" i="2" s="1"/>
  <c r="T48" i="2" s="1"/>
  <c r="P47" i="2"/>
  <c r="R47" i="2" s="1"/>
  <c r="D47" i="2" s="1"/>
  <c r="T47" i="2" s="1"/>
  <c r="T46" i="2"/>
  <c r="P46" i="2"/>
  <c r="M46" i="2"/>
  <c r="L46" i="2"/>
  <c r="K46" i="2"/>
  <c r="J46" i="2"/>
  <c r="I46" i="2"/>
  <c r="H46" i="2"/>
  <c r="P45" i="2"/>
  <c r="P44" i="2"/>
  <c r="R44" i="2" s="1"/>
  <c r="D44" i="2" s="1"/>
  <c r="T44" i="2" s="1"/>
  <c r="P43" i="2"/>
  <c r="R43" i="2" s="1"/>
  <c r="D43" i="2" s="1"/>
  <c r="T43" i="2" s="1"/>
  <c r="P42" i="2"/>
  <c r="T41" i="2"/>
  <c r="P41" i="2"/>
  <c r="M41" i="2"/>
  <c r="K41" i="2"/>
  <c r="I41" i="2"/>
  <c r="P40" i="2"/>
  <c r="R40" i="2" s="1"/>
  <c r="D40" i="2" s="1"/>
  <c r="T40" i="2" s="1"/>
  <c r="P39" i="2"/>
  <c r="T38" i="2"/>
  <c r="P38" i="2"/>
  <c r="R38" i="2" s="1"/>
  <c r="M38" i="2"/>
  <c r="K38" i="2"/>
  <c r="I38" i="2"/>
  <c r="P37" i="2"/>
  <c r="P36" i="2"/>
  <c r="R36" i="2" s="1"/>
  <c r="D36" i="2" s="1"/>
  <c r="T36" i="2" s="1"/>
  <c r="T35" i="2"/>
  <c r="P35" i="2"/>
  <c r="M35" i="2"/>
  <c r="K35" i="2"/>
  <c r="I35" i="2"/>
  <c r="P34" i="2"/>
  <c r="R34" i="2" s="1"/>
  <c r="D34" i="2" s="1"/>
  <c r="T34" i="2" s="1"/>
  <c r="P33" i="2"/>
  <c r="P32" i="2"/>
  <c r="P31" i="2"/>
  <c r="R31" i="2" s="1"/>
  <c r="D31" i="2" s="1"/>
  <c r="T31" i="2" s="1"/>
  <c r="P30" i="2"/>
  <c r="R30" i="2" s="1"/>
  <c r="D30" i="2" s="1"/>
  <c r="T30" i="2" s="1"/>
  <c r="P29" i="2"/>
  <c r="T28" i="2"/>
  <c r="P28" i="2"/>
  <c r="M28" i="2"/>
  <c r="L28" i="2"/>
  <c r="K28" i="2"/>
  <c r="J28" i="2"/>
  <c r="I28" i="2"/>
  <c r="H28" i="2"/>
  <c r="P27" i="2"/>
  <c r="Q27" i="2" s="1"/>
  <c r="C27" i="2" s="1"/>
  <c r="P26" i="2"/>
  <c r="Q26" i="2" s="1"/>
  <c r="C26" i="2" s="1"/>
  <c r="P25" i="2"/>
  <c r="R25" i="2" s="1"/>
  <c r="D25" i="2" s="1"/>
  <c r="T25" i="2" s="1"/>
  <c r="P24" i="2"/>
  <c r="Q24" i="2" s="1"/>
  <c r="C24" i="2" s="1"/>
  <c r="P23" i="2"/>
  <c r="T22" i="2"/>
  <c r="P22" i="2"/>
  <c r="Q22" i="2" s="1"/>
  <c r="M22" i="2"/>
  <c r="L22" i="2"/>
  <c r="K22" i="2"/>
  <c r="J22" i="2"/>
  <c r="I22" i="2"/>
  <c r="H22" i="2"/>
  <c r="P21" i="2"/>
  <c r="R21" i="2" s="1"/>
  <c r="D21" i="2" s="1"/>
  <c r="T21" i="2" s="1"/>
  <c r="P20" i="2"/>
  <c r="R20" i="2" s="1"/>
  <c r="D20" i="2" s="1"/>
  <c r="T20" i="2" s="1"/>
  <c r="P19" i="2"/>
  <c r="P18" i="2"/>
  <c r="Q18" i="2" s="1"/>
  <c r="T17" i="2"/>
  <c r="P17" i="2"/>
  <c r="M17" i="2"/>
  <c r="L17" i="2"/>
  <c r="K17" i="2"/>
  <c r="J17" i="2"/>
  <c r="I17" i="2"/>
  <c r="H17" i="2"/>
  <c r="P16" i="2"/>
  <c r="P15" i="2"/>
  <c r="R15" i="2" s="1"/>
  <c r="D15" i="2" s="1"/>
  <c r="T15" i="2" s="1"/>
  <c r="P14" i="2"/>
  <c r="P13" i="2"/>
  <c r="Q13" i="2" s="1"/>
  <c r="C13" i="2" s="1"/>
  <c r="P12" i="2"/>
  <c r="R12" i="2" s="1"/>
  <c r="D12" i="2" s="1"/>
  <c r="T12" i="2" s="1"/>
  <c r="T11" i="2"/>
  <c r="P11" i="2"/>
  <c r="Q11" i="2" s="1"/>
  <c r="M11" i="2"/>
  <c r="L11" i="2"/>
  <c r="K11" i="2"/>
  <c r="J11" i="2"/>
  <c r="I11" i="2"/>
  <c r="H11" i="2"/>
  <c r="P10" i="2"/>
  <c r="R10" i="2" s="1"/>
  <c r="D10" i="2" s="1"/>
  <c r="T10" i="2" s="1"/>
  <c r="P9" i="2"/>
  <c r="Q9" i="2" s="1"/>
  <c r="C9" i="2" s="1"/>
  <c r="P8" i="2"/>
  <c r="R8" i="2" s="1"/>
  <c r="D8" i="2" s="1"/>
  <c r="T8" i="2" s="1"/>
  <c r="P7" i="2"/>
  <c r="R7" i="2" s="1"/>
  <c r="D7" i="2" s="1"/>
  <c r="T7" i="2" s="1"/>
  <c r="P6" i="2"/>
  <c r="R6" i="2" s="1"/>
  <c r="D6" i="2" s="1"/>
  <c r="T6" i="2" s="1"/>
  <c r="P5" i="2"/>
  <c r="R5" i="2" s="1"/>
  <c r="D5" i="2" s="1"/>
  <c r="T5" i="2" s="1"/>
  <c r="Q14" i="2" l="1"/>
  <c r="C14" i="2" s="1"/>
  <c r="R14" i="2"/>
  <c r="D14" i="2" s="1"/>
  <c r="T14" i="2" s="1"/>
  <c r="R16" i="2"/>
  <c r="D16" i="2" s="1"/>
  <c r="T16" i="2" s="1"/>
  <c r="Q16" i="2"/>
  <c r="C16" i="2" s="1"/>
  <c r="Q17" i="2"/>
  <c r="R17" i="2"/>
  <c r="Q19" i="2"/>
  <c r="C19" i="2" s="1"/>
  <c r="R19" i="2"/>
  <c r="S19" i="2" s="1"/>
  <c r="R23" i="2"/>
  <c r="D23" i="2" s="1"/>
  <c r="T23" i="2" s="1"/>
  <c r="Q23" i="2"/>
  <c r="C23" i="2" s="1"/>
  <c r="R28" i="2"/>
  <c r="Q28" i="2"/>
  <c r="R33" i="2"/>
  <c r="D33" i="2" s="1"/>
  <c r="T33" i="2" s="1"/>
  <c r="Q33" i="2"/>
  <c r="R35" i="2"/>
  <c r="Q35" i="2"/>
  <c r="S35" i="2" s="1"/>
  <c r="R42" i="2"/>
  <c r="D42" i="2" s="1"/>
  <c r="T42" i="2" s="1"/>
  <c r="Q42" i="2"/>
  <c r="Q45" i="2"/>
  <c r="C45" i="2" s="1"/>
  <c r="R45" i="2"/>
  <c r="S45" i="2" s="1"/>
  <c r="Q50" i="2"/>
  <c r="C50" i="2" s="1"/>
  <c r="R50" i="2"/>
  <c r="D50" i="2" s="1"/>
  <c r="T50" i="2" s="1"/>
  <c r="R54" i="2"/>
  <c r="D54" i="2" s="1"/>
  <c r="T54" i="2" s="1"/>
  <c r="Q54" i="2"/>
  <c r="Q55" i="2"/>
  <c r="C55" i="2" s="1"/>
  <c r="R55" i="2"/>
  <c r="D55" i="2" s="1"/>
  <c r="T55" i="2" s="1"/>
  <c r="R62" i="2"/>
  <c r="D62" i="2" s="1"/>
  <c r="T62" i="2" s="1"/>
  <c r="Q62" i="2"/>
  <c r="S62" i="2" s="1"/>
  <c r="Q63" i="2"/>
  <c r="R63" i="2"/>
  <c r="D63" i="2" s="1"/>
  <c r="T63" i="2" s="1"/>
  <c r="R67" i="2"/>
  <c r="D67" i="2" s="1"/>
  <c r="T67" i="2" s="1"/>
  <c r="Q67" i="2"/>
  <c r="C67" i="2" s="1"/>
  <c r="R69" i="2"/>
  <c r="D69" i="2" s="1"/>
  <c r="T69" i="2" s="1"/>
  <c r="Q69" i="2"/>
  <c r="S69" i="2" s="1"/>
  <c r="Q70" i="2"/>
  <c r="R70" i="2"/>
  <c r="D70" i="2" s="1"/>
  <c r="T70" i="2" s="1"/>
  <c r="R72" i="2"/>
  <c r="D72" i="2" s="1"/>
  <c r="T72" i="2" s="1"/>
  <c r="Q72" i="2"/>
  <c r="R74" i="2"/>
  <c r="D74" i="2" s="1"/>
  <c r="T74" i="2" s="1"/>
  <c r="Q74" i="2"/>
  <c r="C74" i="2" s="1"/>
  <c r="R84" i="2"/>
  <c r="D84" i="2" s="1"/>
  <c r="T84" i="2" s="1"/>
  <c r="Q84" i="2"/>
  <c r="C84" i="2" s="1"/>
  <c r="Q85" i="2"/>
  <c r="R85" i="2"/>
  <c r="D85" i="2" s="1"/>
  <c r="T85" i="2" s="1"/>
  <c r="R92" i="2"/>
  <c r="Q92" i="2"/>
  <c r="S92" i="2" s="1"/>
  <c r="R90" i="2"/>
  <c r="N41" i="2"/>
  <c r="C18" i="2"/>
  <c r="S54" i="2"/>
  <c r="N77" i="2"/>
  <c r="Q86" i="2"/>
  <c r="S86" i="2" s="1"/>
  <c r="Q91" i="2"/>
  <c r="Q8" i="2"/>
  <c r="C8" i="2" s="1"/>
  <c r="N28" i="2"/>
  <c r="S50" i="2"/>
  <c r="Q59" i="2"/>
  <c r="C59" i="2" s="1"/>
  <c r="S63" i="2"/>
  <c r="S70" i="2"/>
  <c r="Q79" i="2"/>
  <c r="C79" i="2" s="1"/>
  <c r="Q38" i="2"/>
  <c r="S38" i="2" s="1"/>
  <c r="Q44" i="2"/>
  <c r="C44" i="2" s="1"/>
  <c r="R65" i="2"/>
  <c r="S65" i="2" s="1"/>
  <c r="R80" i="2"/>
  <c r="D80" i="2" s="1"/>
  <c r="T80" i="2" s="1"/>
  <c r="R87" i="2"/>
  <c r="D87" i="2" s="1"/>
  <c r="T87" i="2" s="1"/>
  <c r="N91" i="2"/>
  <c r="Q6" i="2"/>
  <c r="R18" i="2"/>
  <c r="D18" i="2" s="1"/>
  <c r="T18" i="2" s="1"/>
  <c r="Q21" i="2"/>
  <c r="C21" i="2" s="1"/>
  <c r="Q36" i="2"/>
  <c r="C36" i="2" s="1"/>
  <c r="Q49" i="2"/>
  <c r="Q53" i="2"/>
  <c r="R60" i="2"/>
  <c r="S60" i="2" s="1"/>
  <c r="R75" i="2"/>
  <c r="D75" i="2" s="1"/>
  <c r="T75" i="2" s="1"/>
  <c r="R82" i="2"/>
  <c r="S82" i="2" s="1"/>
  <c r="R26" i="2"/>
  <c r="D26" i="2" s="1"/>
  <c r="T26" i="2" s="1"/>
  <c r="Q31" i="2"/>
  <c r="S31" i="2" s="1"/>
  <c r="D45" i="2"/>
  <c r="T45" i="2" s="1"/>
  <c r="Q57" i="2"/>
  <c r="C57" i="2" s="1"/>
  <c r="Q58" i="2"/>
  <c r="N65" i="2"/>
  <c r="R77" i="2"/>
  <c r="S77" i="2" s="1"/>
  <c r="S16" i="2"/>
  <c r="S17" i="2"/>
  <c r="D19" i="2"/>
  <c r="T19" i="2" s="1"/>
  <c r="N52" i="2"/>
  <c r="R13" i="2"/>
  <c r="D13" i="2" s="1"/>
  <c r="T13" i="2" s="1"/>
  <c r="N86" i="2"/>
  <c r="N82" i="2"/>
  <c r="N73" i="2"/>
  <c r="N68" i="2"/>
  <c r="N58" i="2"/>
  <c r="N46" i="2"/>
  <c r="N38" i="2"/>
  <c r="N22" i="2"/>
  <c r="H23" i="4"/>
  <c r="N11" i="2"/>
  <c r="G23" i="4"/>
  <c r="F23" i="4"/>
  <c r="E23" i="4"/>
  <c r="C23" i="4"/>
  <c r="D23" i="4"/>
  <c r="R51" i="2"/>
  <c r="D51" i="2" s="1"/>
  <c r="T51" i="2" s="1"/>
  <c r="Q51" i="2"/>
  <c r="C54" i="2"/>
  <c r="S55" i="2"/>
  <c r="S58" i="2"/>
  <c r="D60" i="2"/>
  <c r="T60" i="2" s="1"/>
  <c r="C62" i="2"/>
  <c r="C70" i="2"/>
  <c r="L93" i="2"/>
  <c r="K93" i="2"/>
  <c r="Q5" i="2"/>
  <c r="S14" i="2"/>
  <c r="Q25" i="2"/>
  <c r="Q30" i="2"/>
  <c r="Q34" i="2"/>
  <c r="R41" i="2"/>
  <c r="Q41" i="2"/>
  <c r="Q43" i="2"/>
  <c r="Q47" i="2"/>
  <c r="R68" i="2"/>
  <c r="Q68" i="2"/>
  <c r="S68" i="2" s="1"/>
  <c r="C75" i="2"/>
  <c r="H93" i="2"/>
  <c r="M93" i="2"/>
  <c r="S33" i="2"/>
  <c r="C33" i="2"/>
  <c r="R32" i="2"/>
  <c r="D32" i="2" s="1"/>
  <c r="T32" i="2" s="1"/>
  <c r="Q32" i="2"/>
  <c r="R56" i="2"/>
  <c r="D56" i="2" s="1"/>
  <c r="T56" i="2" s="1"/>
  <c r="Q56" i="2"/>
  <c r="R73" i="2"/>
  <c r="Q73" i="2"/>
  <c r="S73" i="2" s="1"/>
  <c r="C31" i="2"/>
  <c r="R37" i="2"/>
  <c r="D37" i="2" s="1"/>
  <c r="T37" i="2" s="1"/>
  <c r="Q37" i="2"/>
  <c r="Q40" i="2"/>
  <c r="Q52" i="2"/>
  <c r="S52" i="2" s="1"/>
  <c r="R78" i="2"/>
  <c r="D78" i="2" s="1"/>
  <c r="T78" i="2" s="1"/>
  <c r="Q78" i="2"/>
  <c r="J93" i="2"/>
  <c r="S91" i="2"/>
  <c r="Q10" i="2"/>
  <c r="S13" i="2"/>
  <c r="R24" i="2"/>
  <c r="D24" i="2" s="1"/>
  <c r="T24" i="2" s="1"/>
  <c r="R29" i="2"/>
  <c r="D29" i="2" s="1"/>
  <c r="T29" i="2" s="1"/>
  <c r="Q29" i="2"/>
  <c r="N35" i="2"/>
  <c r="R46" i="2"/>
  <c r="Q46" i="2"/>
  <c r="S46" i="2" s="1"/>
  <c r="Q48" i="2"/>
  <c r="C63" i="2"/>
  <c r="S67" i="2"/>
  <c r="C69" i="2"/>
  <c r="S6" i="2"/>
  <c r="C6" i="2"/>
  <c r="S42" i="2"/>
  <c r="C42" i="2"/>
  <c r="R11" i="2"/>
  <c r="S11" i="2" s="1"/>
  <c r="R22" i="2"/>
  <c r="S22" i="2" s="1"/>
  <c r="S23" i="2"/>
  <c r="R64" i="2"/>
  <c r="D64" i="2" s="1"/>
  <c r="T64" i="2" s="1"/>
  <c r="Q64" i="2"/>
  <c r="S72" i="2"/>
  <c r="C72" i="2"/>
  <c r="I27" i="6"/>
  <c r="Q7" i="2"/>
  <c r="S8" i="2"/>
  <c r="Q12" i="2"/>
  <c r="Q15" i="2"/>
  <c r="R27" i="2"/>
  <c r="R61" i="2"/>
  <c r="D61" i="2" s="1"/>
  <c r="T61" i="2" s="1"/>
  <c r="Q61" i="2"/>
  <c r="C85" i="2"/>
  <c r="S85" i="2"/>
  <c r="S53" i="2"/>
  <c r="C53" i="2"/>
  <c r="R71" i="2"/>
  <c r="D71" i="2" s="1"/>
  <c r="T71" i="2" s="1"/>
  <c r="Q71" i="2"/>
  <c r="C80" i="2"/>
  <c r="S80" i="2"/>
  <c r="C87" i="2"/>
  <c r="S87" i="2"/>
  <c r="R9" i="2"/>
  <c r="D9" i="2" s="1"/>
  <c r="T9" i="2" s="1"/>
  <c r="N17" i="2"/>
  <c r="Q20" i="2"/>
  <c r="S36" i="2"/>
  <c r="R39" i="2"/>
  <c r="D39" i="2" s="1"/>
  <c r="T39" i="2" s="1"/>
  <c r="Q39" i="2"/>
  <c r="S44" i="2"/>
  <c r="S57" i="2"/>
  <c r="S59" i="2"/>
  <c r="R66" i="2"/>
  <c r="D66" i="2" s="1"/>
  <c r="T66" i="2" s="1"/>
  <c r="Q66" i="2"/>
  <c r="S74" i="2"/>
  <c r="R76" i="2"/>
  <c r="D76" i="2" s="1"/>
  <c r="T76" i="2" s="1"/>
  <c r="Q76" i="2"/>
  <c r="Q83" i="2"/>
  <c r="C90" i="2"/>
  <c r="Q93" i="2"/>
  <c r="S93" i="2" s="1"/>
  <c r="S84" i="2"/>
  <c r="I93" i="2"/>
  <c r="Q89" i="2"/>
  <c r="Q81" i="2"/>
  <c r="Q88" i="2"/>
  <c r="D90" i="2" l="1"/>
  <c r="T90" i="2" s="1"/>
  <c r="S90" i="2"/>
  <c r="S28" i="2"/>
  <c r="S9" i="2"/>
  <c r="S26" i="2"/>
  <c r="S79" i="2"/>
  <c r="S21" i="2"/>
  <c r="S49" i="2"/>
  <c r="C49" i="2"/>
  <c r="S75" i="2"/>
  <c r="S18" i="2"/>
  <c r="N93" i="2"/>
  <c r="C25" i="2"/>
  <c r="S25" i="2"/>
  <c r="C83" i="2"/>
  <c r="S83" i="2"/>
  <c r="C81" i="2"/>
  <c r="S81" i="2"/>
  <c r="S10" i="2"/>
  <c r="C10" i="2"/>
  <c r="F45" i="4"/>
  <c r="D44" i="4"/>
  <c r="H42" i="4"/>
  <c r="F41" i="4"/>
  <c r="D40" i="4"/>
  <c r="H38" i="4"/>
  <c r="F37" i="4"/>
  <c r="D36" i="4"/>
  <c r="H34" i="4"/>
  <c r="F33" i="4"/>
  <c r="D32" i="4"/>
  <c r="H30" i="4"/>
  <c r="F29" i="4"/>
  <c r="E45" i="4"/>
  <c r="C44" i="4"/>
  <c r="G42" i="4"/>
  <c r="E41" i="4"/>
  <c r="C40" i="4"/>
  <c r="G38" i="4"/>
  <c r="E37" i="4"/>
  <c r="C36" i="4"/>
  <c r="G34" i="4"/>
  <c r="E33" i="4"/>
  <c r="C32" i="4"/>
  <c r="G30" i="4"/>
  <c r="E29" i="4"/>
  <c r="D45" i="4"/>
  <c r="H43" i="4"/>
  <c r="F42" i="4"/>
  <c r="D41" i="4"/>
  <c r="H39" i="4"/>
  <c r="F38" i="4"/>
  <c r="D37" i="4"/>
  <c r="H35" i="4"/>
  <c r="F34" i="4"/>
  <c r="D33" i="4"/>
  <c r="H31" i="4"/>
  <c r="F30" i="4"/>
  <c r="D29" i="4"/>
  <c r="C45" i="4"/>
  <c r="G43" i="4"/>
  <c r="E42" i="4"/>
  <c r="C41" i="4"/>
  <c r="G39" i="4"/>
  <c r="E38" i="4"/>
  <c r="C37" i="4"/>
  <c r="G35" i="4"/>
  <c r="E34" i="4"/>
  <c r="C33" i="4"/>
  <c r="G31" i="4"/>
  <c r="E30" i="4"/>
  <c r="C29" i="4"/>
  <c r="H44" i="4"/>
  <c r="F43" i="4"/>
  <c r="D42" i="4"/>
  <c r="H40" i="4"/>
  <c r="F39" i="4"/>
  <c r="D38" i="4"/>
  <c r="H36" i="4"/>
  <c r="F35" i="4"/>
  <c r="D34" i="4"/>
  <c r="H32" i="4"/>
  <c r="F31" i="4"/>
  <c r="D30" i="4"/>
  <c r="G44" i="4"/>
  <c r="E43" i="4"/>
  <c r="C42" i="4"/>
  <c r="G40" i="4"/>
  <c r="E39" i="4"/>
  <c r="C38" i="4"/>
  <c r="G36" i="4"/>
  <c r="E35" i="4"/>
  <c r="C34" i="4"/>
  <c r="G32" i="4"/>
  <c r="E31" i="4"/>
  <c r="C30" i="4"/>
  <c r="H45" i="4"/>
  <c r="F44" i="4"/>
  <c r="D43" i="4"/>
  <c r="H41" i="4"/>
  <c r="F40" i="4"/>
  <c r="D39" i="4"/>
  <c r="H37" i="4"/>
  <c r="F36" i="4"/>
  <c r="D35" i="4"/>
  <c r="H33" i="4"/>
  <c r="F32" i="4"/>
  <c r="D31" i="4"/>
  <c r="H29" i="4"/>
  <c r="G45" i="4"/>
  <c r="E44" i="4"/>
  <c r="C43" i="4"/>
  <c r="G41" i="4"/>
  <c r="E40" i="4"/>
  <c r="C39" i="4"/>
  <c r="G37" i="4"/>
  <c r="E36" i="4"/>
  <c r="C35" i="4"/>
  <c r="G33" i="4"/>
  <c r="E32" i="4"/>
  <c r="C31" i="4"/>
  <c r="G29" i="4"/>
  <c r="S5" i="2"/>
  <c r="C5" i="2"/>
  <c r="C39" i="2"/>
  <c r="S39" i="2"/>
  <c r="C61" i="2"/>
  <c r="S61" i="2"/>
  <c r="C66" i="2"/>
  <c r="S66" i="2"/>
  <c r="S71" i="2"/>
  <c r="C71" i="2"/>
  <c r="D27" i="2"/>
  <c r="T27" i="2" s="1"/>
  <c r="S27" i="2"/>
  <c r="S43" i="2"/>
  <c r="C43" i="2"/>
  <c r="C51" i="2"/>
  <c r="S51" i="2"/>
  <c r="S7" i="2"/>
  <c r="C7" i="2"/>
  <c r="S40" i="2"/>
  <c r="C40" i="2"/>
  <c r="S37" i="2"/>
  <c r="C37" i="2"/>
  <c r="C20" i="2"/>
  <c r="S20" i="2"/>
  <c r="S24" i="2"/>
  <c r="S41" i="2"/>
  <c r="C88" i="2"/>
  <c r="S88" i="2"/>
  <c r="C56" i="2"/>
  <c r="S56" i="2"/>
  <c r="C76" i="2"/>
  <c r="S76" i="2"/>
  <c r="S89" i="2"/>
  <c r="C89" i="2"/>
  <c r="S32" i="2"/>
  <c r="C32" i="2"/>
  <c r="S48" i="2"/>
  <c r="C48" i="2"/>
  <c r="S64" i="2"/>
  <c r="C64" i="2"/>
  <c r="S12" i="2"/>
  <c r="C12" i="2"/>
  <c r="S30" i="2"/>
  <c r="C30" i="2"/>
  <c r="S47" i="2"/>
  <c r="C47" i="2"/>
  <c r="C15" i="2"/>
  <c r="S15" i="2"/>
  <c r="C29" i="2"/>
  <c r="S29" i="2"/>
  <c r="C78" i="2"/>
  <c r="S78" i="2"/>
  <c r="S34" i="2"/>
  <c r="C34" i="2"/>
  <c r="D46" i="4" l="1"/>
  <c r="G46" i="4"/>
  <c r="F46" i="4"/>
  <c r="C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tc={3DA55439-7C79-4A08-A6C2-86D670F99593}</author>
  </authors>
  <commentList>
    <comment ref="D1"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
      </text>
    </comment>
  </commentList>
</comments>
</file>

<file path=xl/sharedStrings.xml><?xml version="1.0" encoding="utf-8"?>
<sst xmlns="http://schemas.openxmlformats.org/spreadsheetml/2006/main" count="596" uniqueCount="184">
  <si>
    <t>SOA Plan Addendum Narrative Question</t>
  </si>
  <si>
    <t xml:space="preserve">How is the use of additional Chapter 70 funds – in conjunction with investments from other funding sources – enabling you to transform how your district serves students most in need of support? </t>
  </si>
  <si>
    <t xml:space="preserve">The Revere Public Schools have benefitted greatly from the SOA and have most heavily invested in on-time learning interventions for students and job embedded professional development for staff.  We have staffed all school with academic interventionists who meet daily with struggling students to move them toward grade-level expectations in real-time.  We also have over 20 Instructional Coaches who work with teachers to improve practices in the classroom to ensure all students are challenged with rigorous curriculum and instruction is differentiated to meet individual needs.  We find all of the EBPs essential but have prioritized those which our community identified as most important.  They are EPBs 1.1A, 1.1B, and 1.1C and our expected funding amounts in that area of the spreadsheet demonstrate the districts commitment here.  We've also invested heavily in EBP 2.2.  We believe that all students are highly capable and it is opportunity that more often prevents student success.  Thus, we have invested heavily in our inclusion models for special needs and EL students.  We have invested more modestly in our educator diversification programs but remain committed to the work of hiring and retaining staff who better reflect the racial and cultural diversity of our students.
One of the greatest changed SOA has meant for Revere is reduced class size.  That is not evident in the EPBs but is critical to ensuring teachers have the time and capacity to address individual student needs.  It also allows teachers the time to connect with families and, together with our Family Liaisons, build stronger bridges between home and school.  
Our secondary pathways and programs are increasing and developing constantly.  We have four Guidance Counselors at Revere High School who work solely on college and career activities.  They coordinate our early college and dual enrollment programs as well as student internships and partnerships with our local trade unions.  Our CityLab Innovation High School is focused entirely on experiential learning and had dual enrollment opportunities such that our students can graduate there with 30 college credits.  They also have 3 DESE supported pathway programs.  As grants for these programs wane, the district will need to increase self funding to sustain these programs.
Finally, the district is very much committed to expanding access to Pre-Kindergarten.   In collaboration with two other municipal entities, we are rehabilitating a currently-empty former school to create an early learning center for our youngest students.  We were able to leverage ESSER funds to support the rebuild but the School District will ultimately staff and support the program financially.  We plan for this program to open in the fall of 2027.
</t>
  </si>
  <si>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</si>
  <si>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</si>
  <si>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</si>
  <si>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</si>
  <si>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</si>
  <si>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</si>
  <si>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</si>
  <si>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</si>
  <si>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</si>
  <si>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</si>
  <si>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</si>
  <si>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</si>
  <si>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</si>
  <si>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</si>
  <si>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</si>
  <si>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</si>
  <si>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</si>
  <si>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</si>
  <si>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</si>
  <si>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9"/>
        <color rgb="FF000000"/>
        <rFont val="Calibri"/>
        <family val="2"/>
        <charset val="1"/>
      </rPr>
      <t xml:space="preserve">1.1A </t>
    </r>
    <r>
      <rPr>
        <sz val="9"/>
        <color rgb="FF000000"/>
        <rFont val="Calibri"/>
        <family val="2"/>
        <charset val="1"/>
      </rPr>
      <t xml:space="preserve">Integrated Services for Student Wellbeing
</t>
    </r>
    <r>
      <rPr>
        <b/>
        <sz val="9"/>
        <color rgb="FF000000"/>
        <rFont val="Calibri"/>
        <family val="2"/>
        <charset val="1"/>
      </rPr>
      <t>1.1B</t>
    </r>
    <r>
      <rPr>
        <sz val="9"/>
        <color rgb="FF000000"/>
        <rFont val="Calibri"/>
        <family val="2"/>
        <charset val="1"/>
      </rPr>
      <t xml:space="preserve"> Enhanced Support for SEL and Mental Health
</t>
    </r>
    <r>
      <rPr>
        <b/>
        <sz val="9"/>
        <color rgb="FF000000"/>
        <rFont val="Calibri"/>
        <family val="2"/>
        <charset val="1"/>
      </rPr>
      <t xml:space="preserve">1.1C </t>
    </r>
    <r>
      <rPr>
        <sz val="9"/>
        <color rgb="FF000000"/>
        <rFont val="Calibri"/>
        <family val="2"/>
        <charset val="1"/>
      </rPr>
      <t>Positive School Environments</t>
    </r>
  </si>
  <si>
    <t>Salaries - Other</t>
  </si>
  <si>
    <t>Guidance and Psychological</t>
  </si>
  <si>
    <t>Salaries of staff members who spend &gt;80% of their time supporting student health and wellbeing (e.g., adjustment counselors, BCBAs, psychologists, social workers)</t>
  </si>
  <si>
    <t>Contractual Services</t>
  </si>
  <si>
    <t>Partnerships with organizations who provide direct mental health services to students</t>
  </si>
  <si>
    <t>Supplies and Materials</t>
  </si>
  <si>
    <t>Instructional Materials, Equip., and Tech.</t>
  </si>
  <si>
    <t>Supplies and materials purchased to support social-emotional learning (SEL) including SEL curriculum</t>
  </si>
  <si>
    <t>Professional Development</t>
  </si>
  <si>
    <t>Vendors who provide professional development or coaching on SEL/mental health topics</t>
  </si>
  <si>
    <t>Operations and Maintenance</t>
  </si>
  <si>
    <t>Costs associated with facilities improvement projects (Note: do not include debt funded capital)</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</si>
  <si>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</si>
  <si>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</si>
  <si>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</si>
  <si>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</si>
  <si>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rPr>
        <b/>
        <sz val="9"/>
        <color rgb="FF000000"/>
        <rFont val="Calibri"/>
        <family val="2"/>
        <charset val="1"/>
      </rPr>
      <t>1.2A</t>
    </r>
    <r>
      <rPr>
        <sz val="9"/>
        <color rgb="FF000000"/>
        <rFont val="Calibri"/>
        <family val="2"/>
        <charset val="1"/>
      </rPr>
      <t xml:space="preserve"> Effective Student Support System
</t>
    </r>
    <r>
      <rPr>
        <b/>
        <sz val="9"/>
        <color rgb="FF000000"/>
        <rFont val="Calibri"/>
        <family val="2"/>
        <charset val="1"/>
      </rPr>
      <t>1.2B</t>
    </r>
    <r>
      <rPr>
        <sz val="9"/>
        <color rgb="FF000000"/>
        <rFont val="Calibri"/>
        <family val="2"/>
        <charset val="1"/>
      </rPr>
      <t xml:space="preserve"> Comprehensive Tiered Supports</t>
    </r>
  </si>
  <si>
    <t>Salaries - Instructional</t>
  </si>
  <si>
    <t>Instruction Leadership</t>
  </si>
  <si>
    <t>Salaries of individuals in leadership roles responsible for managing MTSS</t>
  </si>
  <si>
    <t>Classroom &amp; Specialist Teachers</t>
  </si>
  <si>
    <t>Salaries of teachers who spend &gt;80% of their time providing tiered supports to students (e.g., interventionists)</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</si>
  <si>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</si>
  <si>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</si>
  <si>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</si>
  <si>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9"/>
        <color rgb="FF000000"/>
        <rFont val="Calibri"/>
        <family val="2"/>
        <charset val="1"/>
      </rPr>
      <t>1.3A</t>
    </r>
    <r>
      <rPr>
        <sz val="9"/>
        <color rgb="FF000000"/>
        <rFont val="Calibri"/>
        <family val="2"/>
        <charset val="1"/>
      </rPr>
      <t xml:space="preserve"> Diverse Approaches to Meaningful Family Engagement
</t>
    </r>
    <r>
      <rPr>
        <b/>
        <sz val="9"/>
        <color rgb="FF000000"/>
        <rFont val="Calibri"/>
        <family val="2"/>
        <charset val="1"/>
      </rPr>
      <t>1.3B</t>
    </r>
    <r>
      <rPr>
        <sz val="9"/>
        <color rgb="FF000000"/>
        <rFont val="Calibri"/>
        <family val="2"/>
        <charset val="1"/>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</si>
  <si>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</si>
  <si>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</si>
  <si>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</si>
  <si>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</si>
  <si>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</si>
  <si>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</si>
  <si>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9"/>
        <color rgb="FF000000"/>
        <rFont val="Calibri"/>
        <family val="2"/>
        <charset val="1"/>
      </rPr>
      <t xml:space="preserve">2.1A </t>
    </r>
    <r>
      <rPr>
        <sz val="9"/>
        <color rgb="FF000000"/>
        <rFont val="Calibri"/>
        <family val="2"/>
        <charset val="1"/>
      </rPr>
      <t xml:space="preserve">Inclusive Curriculum Adoption Process
</t>
    </r>
    <r>
      <rPr>
        <b/>
        <sz val="9"/>
        <color rgb="FF000000"/>
        <rFont val="Calibri"/>
        <family val="2"/>
        <charset val="1"/>
      </rPr>
      <t xml:space="preserve">2.1B </t>
    </r>
    <r>
      <rPr>
        <sz val="9"/>
        <color rgb="FF000000"/>
        <rFont val="Calibri"/>
        <family val="2"/>
        <charset val="1"/>
      </rPr>
      <t>Supporting Curriculum Implementation</t>
    </r>
  </si>
  <si>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</si>
  <si>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</si>
  <si>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</si>
  <si>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</si>
  <si>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9"/>
        <color rgb="FF000000"/>
        <rFont val="Calibri"/>
        <family val="2"/>
        <charset val="1"/>
      </rPr>
      <t xml:space="preserve">2.1C </t>
    </r>
    <r>
      <rPr>
        <sz val="9"/>
        <color rgb="FF000000"/>
        <rFont val="Calibri"/>
        <family val="2"/>
        <charset val="1"/>
      </rPr>
      <t xml:space="preserve">Comprehensive Approach to Early Literacy 
</t>
    </r>
    <r>
      <rPr>
        <b/>
        <sz val="9"/>
        <color rgb="FF000000"/>
        <rFont val="Calibri"/>
        <family val="2"/>
        <charset val="1"/>
      </rPr>
      <t>2.1D</t>
    </r>
    <r>
      <rPr>
        <sz val="9"/>
        <color rgb="FF000000"/>
        <rFont val="Calibri"/>
        <family val="2"/>
        <charset val="1"/>
      </rPr>
      <t xml:space="preserve"> Early Literacy Screening and Support</t>
    </r>
  </si>
  <si>
    <t>Salaries of individuals in leadership or coaching roles responsible for early literacy PK-3</t>
  </si>
  <si>
    <t>Salaries of reading specialists or interventionists focused on reading in grades PK-3</t>
  </si>
  <si>
    <t>High quality instructional materials for early literacy (PK-3)</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</si>
  <si>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</si>
  <si>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</si>
  <si>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</si>
  <si>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9"/>
        <color rgb="FF000000"/>
        <rFont val="Calibri"/>
        <family val="2"/>
        <charset val="1"/>
      </rPr>
      <t>2.2A</t>
    </r>
    <r>
      <rPr>
        <sz val="9"/>
        <color rgb="FF000000"/>
        <rFont val="Calibri"/>
        <family val="2"/>
        <charset val="1"/>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</si>
  <si>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</si>
  <si>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</si>
  <si>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9"/>
        <color rgb="FF000000"/>
        <rFont val="Calibri"/>
        <family val="2"/>
        <charset val="1"/>
      </rPr>
      <t xml:space="preserve">2.2B </t>
    </r>
    <r>
      <rPr>
        <sz val="9"/>
        <color rgb="FF000000"/>
        <rFont val="Calibri"/>
        <family val="2"/>
        <charset val="1"/>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</si>
  <si>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</si>
  <si>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</si>
  <si>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9"/>
        <color rgb="FF000000"/>
        <rFont val="Calibri"/>
        <family val="2"/>
        <charset val="1"/>
      </rPr>
      <t xml:space="preserve">2.2C </t>
    </r>
    <r>
      <rPr>
        <sz val="9"/>
        <color rgb="FF000000"/>
        <rFont val="Calibri"/>
        <family val="2"/>
        <charset val="1"/>
      </rPr>
      <t>Collaborative Teaching Models</t>
    </r>
  </si>
  <si>
    <t>Salaries of 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</si>
  <si>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</si>
  <si>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</si>
  <si>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9"/>
        <color rgb="FF000000"/>
        <rFont val="Calibri"/>
        <family val="2"/>
        <charset val="1"/>
      </rPr>
      <t>2.2D</t>
    </r>
    <r>
      <rPr>
        <sz val="9"/>
        <color rgb="FF000000"/>
        <rFont val="Calibri"/>
        <family val="2"/>
        <charset val="1"/>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</si>
  <si>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</si>
  <si>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</si>
  <si>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</si>
  <si>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</si>
  <si>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</si>
  <si>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</si>
  <si>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9"/>
        <color rgb="FF000000"/>
        <rFont val="Calibri"/>
        <family val="2"/>
        <charset val="1"/>
      </rPr>
      <t xml:space="preserve">2.3A </t>
    </r>
    <r>
      <rPr>
        <sz val="9"/>
        <color rgb="FF000000"/>
        <rFont val="Calibri"/>
        <family val="2"/>
        <charset val="1"/>
      </rPr>
      <t xml:space="preserve">Authentic Postsecondary Planning 
</t>
    </r>
    <r>
      <rPr>
        <b/>
        <sz val="9"/>
        <color rgb="FF000000"/>
        <rFont val="Calibri"/>
        <family val="2"/>
        <charset val="1"/>
      </rPr>
      <t xml:space="preserve">2.3B </t>
    </r>
    <r>
      <rPr>
        <sz val="9"/>
        <color rgb="FF000000"/>
        <rFont val="Calibri"/>
        <family val="2"/>
        <charset val="1"/>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</si>
  <si>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</si>
  <si>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</si>
  <si>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</si>
  <si>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</si>
  <si>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</si>
  <si>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</si>
  <si>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9"/>
        <color rgb="FF000000"/>
        <rFont val="Calibri"/>
        <family val="2"/>
        <charset val="1"/>
      </rPr>
      <t xml:space="preserve">2.4A </t>
    </r>
    <r>
      <rPr>
        <sz val="9"/>
        <color rgb="FF000000"/>
        <rFont val="Calibri"/>
        <family val="2"/>
        <charset val="1"/>
      </rPr>
      <t>Expanded Access to Pre-Kindergarten</t>
    </r>
  </si>
  <si>
    <t>Salaries - Administrator</t>
  </si>
  <si>
    <t>Administration</t>
  </si>
  <si>
    <t>Salaries of individuals in leadership roles responsible for coordinating full-day pre-K</t>
  </si>
  <si>
    <t>Salaries of teachers who teach in full-day pre-k classrooms</t>
  </si>
  <si>
    <t>Salaries - Clerical/Support</t>
  </si>
  <si>
    <t>Salaries of paraprofessionals who work in full-day pre-k classrooms</t>
  </si>
  <si>
    <t>Items procured specifically for full-day pre-k (e.g., building space, furniture, etc.)</t>
  </si>
  <si>
    <t>Supplies and materials purchased specifically for full-day pre-k classrooms (e.g., curriculum)</t>
  </si>
  <si>
    <r>
      <rPr>
        <b/>
        <sz val="9"/>
        <rFont val="Calibri"/>
        <family val="2"/>
        <charset val="1"/>
      </rPr>
      <t>2.4B</t>
    </r>
    <r>
      <rPr>
        <sz val="9"/>
        <rFont val="Calibri"/>
        <family val="2"/>
        <charset val="1"/>
      </rPr>
      <t xml:space="preserve"> Extended Learning Time </t>
    </r>
  </si>
  <si>
    <t>Stipends or cost of additional hours at hourly rate for teachers teaching during extended learning time</t>
  </si>
  <si>
    <t>Vendors who provide enrichment services during the school day</t>
  </si>
  <si>
    <r>
      <rPr>
        <b/>
        <sz val="9"/>
        <color rgb="FF000000"/>
        <rFont val="Calibri"/>
        <family val="2"/>
        <charset val="1"/>
      </rPr>
      <t>2.4C</t>
    </r>
    <r>
      <rPr>
        <sz val="9"/>
        <color rgb="FF000000"/>
        <rFont val="Calibri"/>
        <family val="2"/>
        <charset val="1"/>
      </rPr>
      <t xml:space="preserve"> Effective Programming for Multilingual Learners</t>
    </r>
  </si>
  <si>
    <t>Salaries of teachers who teach in dual language education programs</t>
  </si>
  <si>
    <t>Vendors who provide professional development and/or coaching targeted in dual language education programs</t>
  </si>
  <si>
    <t>Supplies and materials purchased specifically for dual language education programs</t>
  </si>
  <si>
    <r>
      <rPr>
        <b/>
        <sz val="9"/>
        <color rgb="FF000000"/>
        <rFont val="Calibri"/>
        <family val="2"/>
        <charset val="1"/>
      </rPr>
      <t>2.4D</t>
    </r>
    <r>
      <rPr>
        <sz val="9"/>
        <color rgb="FF000000"/>
        <rFont val="Calibri"/>
        <family val="2"/>
        <charset val="1"/>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</si>
  <si>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</si>
  <si>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</si>
  <si>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</si>
  <si>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9"/>
        <color rgb="FF000000"/>
        <rFont val="Calibri"/>
        <family val="2"/>
        <charset val="1"/>
      </rPr>
      <t xml:space="preserve">3.1A </t>
    </r>
    <r>
      <rPr>
        <sz val="9"/>
        <color rgb="FF000000"/>
        <rFont val="Calibri"/>
        <family val="2"/>
        <charset val="1"/>
      </rPr>
      <t xml:space="preserve">Intentional Hiring Systems  
</t>
    </r>
    <r>
      <rPr>
        <b/>
        <sz val="9"/>
        <color rgb="FF000000"/>
        <rFont val="Calibri"/>
        <family val="2"/>
        <charset val="1"/>
      </rPr>
      <t xml:space="preserve">3.1B </t>
    </r>
    <r>
      <rPr>
        <sz val="9"/>
        <color rgb="FF000000"/>
        <rFont val="Calibri"/>
        <family val="2"/>
        <charset val="1"/>
      </rPr>
      <t xml:space="preserve">Enhanced Pathways to Increase Educator Diversity 
</t>
    </r>
    <r>
      <rPr>
        <b/>
        <sz val="9"/>
        <color rgb="FF000000"/>
        <rFont val="Calibri"/>
        <family val="2"/>
        <charset val="1"/>
      </rPr>
      <t>3.1C</t>
    </r>
    <r>
      <rPr>
        <sz val="9"/>
        <color rgb="FF000000"/>
        <rFont val="Calibri"/>
        <family val="2"/>
        <charset val="1"/>
      </rPr>
      <t xml:space="preserve"> Educator Preparation Partnerships</t>
    </r>
  </si>
  <si>
    <t>Salaries of individuals responsible for diversity, equity, and inclusion (DEI) efforts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</si>
  <si>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</si>
  <si>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</si>
  <si>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</si>
  <si>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9"/>
        <color rgb="FF000000"/>
        <rFont val="Calibri"/>
        <family val="2"/>
        <charset val="1"/>
      </rPr>
      <t xml:space="preserve">3.2A </t>
    </r>
    <r>
      <rPr>
        <sz val="9"/>
        <color rgb="FF000000"/>
        <rFont val="Calibri"/>
        <family val="2"/>
        <charset val="1"/>
      </rPr>
      <t xml:space="preserve">Inclusive School Environments 
</t>
    </r>
    <r>
      <rPr>
        <b/>
        <sz val="9"/>
        <color rgb="FF000000"/>
        <rFont val="Calibri"/>
        <family val="2"/>
        <charset val="1"/>
      </rPr>
      <t>3.2B</t>
    </r>
    <r>
      <rPr>
        <sz val="9"/>
        <color rgb="FF000000"/>
        <rFont val="Calibri"/>
        <family val="2"/>
        <charset val="1"/>
      </rPr>
      <t xml:space="preserve"> Retention Support Programs  
</t>
    </r>
    <r>
      <rPr>
        <b/>
        <sz val="9"/>
        <color rgb="FF000000"/>
        <rFont val="Calibri"/>
        <family val="2"/>
        <charset val="1"/>
      </rPr>
      <t xml:space="preserve">3.2C </t>
    </r>
    <r>
      <rPr>
        <sz val="9"/>
        <color rgb="FF000000"/>
        <rFont val="Calibri"/>
        <family val="2"/>
        <charset val="1"/>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</si>
  <si>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</si>
  <si>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</si>
  <si>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</si>
  <si>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</si>
  <si>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9"/>
        <color rgb="FF000000"/>
        <rFont val="Calibri"/>
        <family val="2"/>
        <charset val="1"/>
      </rPr>
      <t xml:space="preserve">3.3A </t>
    </r>
    <r>
      <rPr>
        <sz val="9"/>
        <color rgb="FF000000"/>
        <rFont val="Calibri"/>
        <family val="2"/>
        <charset val="1"/>
      </rPr>
      <t xml:space="preserve">Resource Allocation Aligned to Student Success  
</t>
    </r>
    <r>
      <rPr>
        <b/>
        <sz val="9"/>
        <color rgb="FF000000"/>
        <rFont val="Calibri"/>
        <family val="2"/>
        <charset val="1"/>
      </rPr>
      <t xml:space="preserve">3.3B </t>
    </r>
    <r>
      <rPr>
        <sz val="9"/>
        <color rgb="FF000000"/>
        <rFont val="Calibri"/>
        <family val="2"/>
        <charset val="1"/>
      </rPr>
      <t xml:space="preserve">Support for Effective Team Practices 
</t>
    </r>
    <r>
      <rPr>
        <b/>
        <sz val="9"/>
        <color rgb="FF000000"/>
        <rFont val="Calibri"/>
        <family val="2"/>
        <charset val="1"/>
      </rPr>
      <t>3.3C</t>
    </r>
    <r>
      <rPr>
        <sz val="9"/>
        <color rgb="FF000000"/>
        <rFont val="Calibri"/>
        <family val="2"/>
        <charset val="1"/>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</si>
  <si>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</si>
  <si>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</si>
  <si>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</si>
  <si>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</si>
  <si>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</si>
  <si>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</si>
  <si>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</si>
  <si>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</si>
  <si>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</si>
  <si>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</si>
  <si>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</si>
  <si>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</si>
  <si>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</si>
  <si>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</si>
  <si>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</si>
  <si>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</si>
  <si>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</si>
  <si>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</si>
  <si>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</si>
  <si>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</si>
  <si>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</si>
  <si>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</si>
  <si>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</si>
  <si>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</si>
  <si>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</si>
  <si>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</si>
  <si>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</si>
  <si>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</si>
  <si>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</si>
  <si>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</si>
  <si>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</si>
  <si>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</si>
  <si>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</si>
  <si>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</si>
  <si>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</si>
  <si>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</si>
  <si>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</si>
  <si>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</si>
  <si>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</si>
  <si>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</si>
  <si>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</si>
  <si>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</si>
  <si>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</si>
  <si>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01</t>
  </si>
  <si>
    <t>Professional Salaries</t>
  </si>
  <si>
    <t>06</t>
  </si>
  <si>
    <t>02</t>
  </si>
  <si>
    <t>Clerical Salaries</t>
  </si>
  <si>
    <t>04</t>
  </si>
  <si>
    <t>03</t>
  </si>
  <si>
    <t>Other Salaries</t>
  </si>
  <si>
    <t>Contracted Services</t>
  </si>
  <si>
    <t>05</t>
  </si>
  <si>
    <t>Other Expenses</t>
  </si>
  <si>
    <t>Operations and Management</t>
  </si>
  <si>
    <t>Removed</t>
  </si>
  <si>
    <t>Function Code</t>
  </si>
  <si>
    <t xml:space="preserve">Function </t>
  </si>
  <si>
    <t>COA Code</t>
  </si>
  <si>
    <t>Full Desc</t>
  </si>
  <si>
    <t xml:space="preserve">School Committee </t>
  </si>
  <si>
    <t xml:space="preserve">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</si>
</sst>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0.00;[Red]\-[$$-409]#,##0.00"/>
    <numFmt numFmtId="165" formatCode="\$#,##0.00_);[Red]&quot;($&quot;#,##0.00\)"/>
    <numFmt numFmtId="166" formatCode="0.0"/>
    <numFmt numFmtId="167" formatCode="[$$-409]#,##0;[Red]\-[$$-409]#,##0"/>
    <numFmt numFmtId="168" formatCode="\$#,##0_);[Red]&quot;($&quot;#,##0\)"/>
    <numFmt numFmtId="169" formatCode="[$$-409]#,##0.00_);[Red]\([$$-409]#,##0.00\)"/>
  </numFmts>
  <fonts count="33">
    <font>
      <sz val="10"/>
      <color rgb="FF000000"/>
      <name val="Arial"/>
      <charset val="1"/>
    </font>
    <font>
      <b/>
      <sz val="10"/>
      <color rgb="FF000000"/>
      <name val="Arial"/>
      <charset val="1"/>
    </font>
    <font>
      <b/>
      <sz val="14"/>
      <color rgb="FF000000"/>
      <name val="Calibri"/>
      <family val="2"/>
      <charset val="1"/>
    </font>
    <font>
      <b/>
      <sz val="10"/>
      <color rgb="FF000000"/>
      <name val="Calibri"/>
      <family val="2"/>
      <charset val="1"/>
    </font>
    <font>
      <sz val="10"/>
      <color rgb="FF000000"/>
      <name val="Calibri"/>
      <family val="2"/>
      <charset val="1"/>
    </font>
    <font>
      <sz val="12"/>
      <color rgb="FF000000"/>
      <name val="Calibri"/>
      <family val="2"/>
      <charset val="1"/>
    </font>
    <font>
      <sz val="12"/>
      <color rgb="FF000000"/>
      <name val="Arial"/>
      <family val="2"/>
      <charset val="1"/>
    </font>
    <font>
      <b/>
      <sz val="11"/>
      <color rgb="FF000000"/>
      <name val="Calibri"/>
      <family val="2"/>
      <charset val="1"/>
    </font>
    <font>
      <b/>
      <sz val="11"/>
      <color rgb="FFFFFFFF"/>
      <name val="Calibri"/>
      <family val="2"/>
      <charset val="1"/>
    </font>
    <font>
      <sz val="11"/>
      <color rgb="FF000000"/>
      <name val="Arial"/>
      <family val="2"/>
      <charset val="1"/>
    </font>
    <font>
      <b/>
      <sz val="11"/>
      <color rgb="FF000000"/>
      <name val="Arial"/>
      <family val="2"/>
      <charset val="1"/>
    </font>
    <font>
      <sz val="10"/>
      <name val="Arial"/>
      <charset val="1"/>
    </font>
    <font>
      <sz val="10"/>
      <name val="Calibri"/>
      <family val="2"/>
      <charset val="1"/>
    </font>
    <font>
      <b/>
      <sz val="9"/>
      <color rgb="FF000000"/>
      <name val="Calibri"/>
      <charset val="1"/>
    </font>
    <font>
      <b/>
      <sz val="9"/>
      <color rgb="FF000000"/>
      <name val="Calibri"/>
      <family val="2"/>
      <charset val="1"/>
    </font>
    <font>
      <sz val="9"/>
      <color rgb="FF000000"/>
      <name val="Calibri"/>
      <family val="2"/>
      <charset val="1"/>
    </font>
    <font>
      <sz val="8"/>
      <color rgb="FF000000"/>
      <name val="Calibri"/>
      <family val="2"/>
      <charset val="1"/>
    </font>
    <font>
      <i/>
      <sz val="8"/>
      <color rgb="FF000000"/>
      <name val="Calibri"/>
      <family val="2"/>
      <charset val="1"/>
    </font>
    <font>
      <sz val="9"/>
      <color rgb="FF000000"/>
      <name val="Calibri"/>
      <charset val="1"/>
    </font>
    <font>
      <b/>
      <sz val="8"/>
      <color rgb="FF000000"/>
      <name val="Calibri"/>
      <family val="2"/>
      <charset val="1"/>
    </font>
    <font>
      <b/>
      <sz val="10"/>
      <color rgb="FFFFFFFF"/>
      <name val="Calibri"/>
      <family val="2"/>
      <charset val="1"/>
    </font>
    <font>
      <b/>
      <sz val="9"/>
      <color rgb="FFFFFFFF"/>
      <name val="Calibri"/>
      <family val="2"/>
      <charset val="1"/>
    </font>
    <font>
      <b/>
      <sz val="9"/>
      <name val="Calibri"/>
      <family val="2"/>
      <charset val="1"/>
    </font>
    <font>
      <sz val="9"/>
      <name val="Calibri"/>
      <family val="2"/>
      <charset val="1"/>
    </font>
    <font>
      <b/>
      <sz val="11"/>
      <color rgb="FFFFFFFF"/>
      <name val="Calibri"/>
      <charset val="1"/>
    </font>
    <font>
      <b/>
      <sz val="11"/>
      <color rgb="FFFFFFFF"/>
      <name val="Arial"/>
      <charset val="1"/>
    </font>
    <font>
      <b/>
      <sz val="12"/>
      <color rgb="FFFFFFFF"/>
      <name val="Arial"/>
      <charset val="1"/>
    </font>
    <font>
      <b/>
      <sz val="10"/>
      <color rgb="FFFFFFFF"/>
      <name val="Arial"/>
      <charset val="1"/>
    </font>
    <font>
      <sz val="10"/>
      <color rgb="FFFFFFFF"/>
      <name val="Arial"/>
      <charset val="1"/>
    </font>
    <font>
      <sz val="10"/>
      <color rgb="FF000000"/>
      <name val="Arial"/>
      <family val="2"/>
      <charset val="1"/>
    </font>
    <font>
      <sz val="10"/>
      <color rgb="FF000000"/>
      <name val="Arial"/>
      <charset val="1"/>
    </font>
    <font>
      <sz val="11"/>
      <color rgb="FF9C0006"/>
      <name val="Calibri"/>
      <family val="2"/>
      <scheme val="minor"/>
    </font>
    <font>
      <sz val="11"/>
      <name val="Calibri"/>
      <family val="2"/>
      <scheme val="minor"/>
    </font>
  </fonts>
  <fills count="13">
    <fill>
      <patternFill patternType="none"/>
    </fill>
    <fill>
      <patternFill patternType="gray125"/>
    </fill>
    <fill>
      <patternFill patternType="solid">
        <fgColor rgb="FFD9D9D9"/>
        <bgColor rgb="FFD9EAD3"/>
      </patternFill>
    </fill>
    <fill>
      <patternFill patternType="solid">
        <fgColor rgb="FFB3CEFB"/>
        <bgColor rgb="FFB4C7DC"/>
      </patternFill>
    </fill>
    <fill>
      <patternFill patternType="solid">
        <fgColor rgb="FFD9EAD3"/>
        <bgColor rgb="FFD9D9D9"/>
      </patternFill>
    </fill>
    <fill>
      <patternFill patternType="solid">
        <fgColor rgb="FFFFF2CC"/>
        <bgColor rgb="FFFCE5CD"/>
      </patternFill>
    </fill>
    <fill>
      <patternFill patternType="solid">
        <fgColor rgb="FFFCE5CD"/>
        <bgColor rgb="FFFFF2CC"/>
      </patternFill>
    </fill>
    <fill>
      <patternFill patternType="solid">
        <fgColor rgb="FF000000"/>
        <bgColor rgb="FF003300"/>
      </patternFill>
    </fill>
    <fill>
      <patternFill patternType="solid">
        <fgColor rgb="FF808080"/>
        <bgColor rgb="FF969696"/>
      </patternFill>
    </fill>
    <fill>
      <patternFill patternType="solid">
        <fgColor rgb="FFFFFFFF"/>
        <bgColor rgb="FFFFF2CC"/>
      </patternFill>
    </fill>
    <fill>
      <patternFill patternType="solid">
        <fgColor rgb="FFB4C7DC"/>
        <bgColor rgb="FFB3CEFB"/>
      </patternFill>
    </fill>
    <fill>
      <patternFill patternType="solid">
        <fgColor rgb="FFFFC7CE"/>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ck">
        <color auto="1"/>
      </left>
      <right/>
      <top style="thick">
        <color auto="1"/>
      </top>
      <bottom style="thick">
        <color auto="1"/>
      </bottom>
      <diagonal/>
    </border>
    <border>
      <left style="thin">
        <color auto="1"/>
      </left>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s>
  <cellStyleXfs count="8">
    <xf numFmtId="0" fontId="0" fillId="0" borderId="0"/>
    <xf numFmtId="0" fontId="30" fillId="0" borderId="0" applyBorder="0" applyProtection="0">
      <alignment horizontal="left"/>
    </xf>
    <xf numFmtId="0" fontId="30" fillId="0" borderId="0" applyBorder="0" applyProtection="0"/>
    <xf numFmtId="0" fontId="30" fillId="0" borderId="0" applyBorder="0" applyProtection="0"/>
    <xf numFmtId="0" fontId="1" fillId="0" borderId="0" applyBorder="0" applyProtection="0"/>
    <xf numFmtId="0" fontId="1" fillId="0" borderId="0" applyBorder="0" applyProtection="0">
      <alignment horizontal="left"/>
    </xf>
    <xf numFmtId="0" fontId="30" fillId="0" borderId="0" applyBorder="0" applyProtection="0"/>
    <xf numFmtId="0" fontId="31" fillId="11" borderId="0" applyNumberFormat="0" applyBorder="0" applyAlignment="0" applyProtection="0"/>
  </cellStyleXfs>
  <cellXfs count="115">
    <xf numFmtId="0" fontId="0" fillId="0" borderId="0" xfId="0"/>
    <xf numFmtId="0" fontId="0" fillId="0" borderId="0" xfId="0" applyAlignment="1">
      <alignment horizontal="left"/>
    </xf>
    <xf numFmtId="0" fontId="4" fillId="0" borderId="0" xfId="0" applyFont="1" applyAlignment="1">
      <alignment horizontal="left"/>
    </xf>
    <xf numFmtId="0" fontId="4" fillId="0" borderId="0" xfId="0" applyFont="1"/>
    <xf numFmtId="164" fontId="0" fillId="0" borderId="0" xfId="0" applyNumberFormat="1"/>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6" fillId="0" borderId="0" xfId="0" applyFont="1"/>
    <xf numFmtId="164" fontId="6" fillId="0" borderId="0" xfId="0" applyNumberFormat="1" applyFont="1"/>
    <xf numFmtId="0" fontId="9" fillId="0" borderId="0" xfId="0" applyFont="1" applyAlignment="1">
      <alignment vertical="center"/>
    </xf>
    <xf numFmtId="0" fontId="10" fillId="0" borderId="0" xfId="0" applyFont="1" applyAlignment="1">
      <alignment vertical="center"/>
    </xf>
    <xf numFmtId="0" fontId="9" fillId="0" borderId="0" xfId="0" applyFont="1"/>
    <xf numFmtId="0" fontId="0" fillId="0" borderId="0" xfId="0" applyAlignment="1">
      <alignment vertical="center"/>
    </xf>
    <xf numFmtId="0" fontId="25" fillId="0" borderId="0" xfId="0" applyFont="1"/>
    <xf numFmtId="0" fontId="0" fillId="0" borderId="0" xfId="0" applyAlignment="1">
      <alignment horizontal="left" wrapText="1"/>
    </xf>
    <xf numFmtId="0" fontId="4"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wrapText="1"/>
    </xf>
    <xf numFmtId="164" fontId="0" fillId="0" borderId="0" xfId="0" applyNumberFormat="1" applyAlignment="1">
      <alignment wrapText="1"/>
    </xf>
    <xf numFmtId="0" fontId="0" fillId="10" borderId="13" xfId="0" applyFill="1" applyBorder="1"/>
    <xf numFmtId="0" fontId="0" fillId="10" borderId="0" xfId="0" applyFill="1"/>
    <xf numFmtId="0" fontId="1" fillId="0" borderId="13" xfId="0" applyFont="1" applyBorder="1"/>
    <xf numFmtId="0" fontId="1" fillId="0" borderId="0" xfId="0" applyFont="1"/>
    <xf numFmtId="0" fontId="1" fillId="0" borderId="14" xfId="0" applyFont="1" applyBorder="1"/>
    <xf numFmtId="0" fontId="0" fillId="0" borderId="13" xfId="0" applyBorder="1"/>
    <xf numFmtId="166" fontId="0" fillId="0" borderId="0" xfId="0" applyNumberFormat="1"/>
    <xf numFmtId="164" fontId="0" fillId="0" borderId="14" xfId="0" applyNumberFormat="1" applyBorder="1"/>
    <xf numFmtId="0" fontId="27" fillId="7" borderId="5" xfId="0" applyFont="1" applyFill="1" applyBorder="1"/>
    <xf numFmtId="0" fontId="28" fillId="7" borderId="15" xfId="0" applyFont="1" applyFill="1" applyBorder="1"/>
    <xf numFmtId="166" fontId="27" fillId="7" borderId="15" xfId="0" applyNumberFormat="1" applyFont="1" applyFill="1" applyBorder="1"/>
    <xf numFmtId="164" fontId="27" fillId="7" borderId="15" xfId="0" applyNumberFormat="1" applyFont="1" applyFill="1" applyBorder="1"/>
    <xf numFmtId="164" fontId="27" fillId="7" borderId="12" xfId="0" applyNumberFormat="1" applyFont="1" applyFill="1" applyBorder="1"/>
    <xf numFmtId="0" fontId="29" fillId="0" borderId="0" xfId="0" applyFont="1"/>
    <xf numFmtId="0" fontId="29" fillId="0" borderId="0" xfId="0" applyFont="1" applyAlignment="1">
      <alignment wrapText="1"/>
    </xf>
    <xf numFmtId="0" fontId="1" fillId="0" borderId="0" xfId="0" applyFont="1" applyAlignment="1">
      <alignment wrapText="1"/>
    </xf>
    <xf numFmtId="0" fontId="15" fillId="0" borderId="3" xfId="0" applyFont="1" applyBorder="1" applyAlignment="1" applyProtection="1">
      <alignment horizontal="center" vertical="top"/>
      <protection locked="0"/>
    </xf>
    <xf numFmtId="167" fontId="18" fillId="0" borderId="3" xfId="0" applyNumberFormat="1" applyFont="1" applyBorder="1" applyAlignment="1" applyProtection="1">
      <alignment horizontal="center" vertical="top" wrapText="1"/>
      <protection locked="0"/>
    </xf>
    <xf numFmtId="0" fontId="18" fillId="0" borderId="3" xfId="0" applyFont="1" applyBorder="1" applyAlignment="1" applyProtection="1">
      <alignment horizontal="center" vertical="top" wrapText="1"/>
      <protection locked="0"/>
    </xf>
    <xf numFmtId="164" fontId="7" fillId="4" borderId="3" xfId="0" applyNumberFormat="1"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164" fontId="7" fillId="6" borderId="3" xfId="0" applyNumberFormat="1" applyFont="1" applyFill="1" applyBorder="1" applyAlignment="1">
      <alignment horizontal="center" vertical="center" wrapText="1"/>
    </xf>
    <xf numFmtId="0" fontId="11" fillId="8" borderId="2" xfId="0" applyFont="1" applyFill="1" applyBorder="1" applyAlignment="1">
      <alignment horizontal="left"/>
    </xf>
    <xf numFmtId="0" fontId="12" fillId="8" borderId="3" xfId="0" applyFont="1" applyFill="1" applyBorder="1" applyAlignment="1">
      <alignment horizontal="left"/>
    </xf>
    <xf numFmtId="0" fontId="12" fillId="8" borderId="3" xfId="0" applyFont="1" applyFill="1" applyBorder="1" applyAlignment="1">
      <alignment horizontal="center"/>
    </xf>
    <xf numFmtId="0" fontId="11" fillId="8" borderId="3" xfId="0" applyFont="1" applyFill="1" applyBorder="1" applyAlignment="1">
      <alignment horizontal="left"/>
    </xf>
    <xf numFmtId="0" fontId="13" fillId="8" borderId="3" xfId="0" applyFont="1" applyFill="1" applyBorder="1" applyAlignment="1">
      <alignment horizontal="center" vertical="center" wrapText="1"/>
    </xf>
    <xf numFmtId="164" fontId="13" fillId="8" borderId="3" xfId="0" applyNumberFormat="1" applyFont="1" applyFill="1" applyBorder="1" applyAlignment="1">
      <alignment horizontal="center" vertical="center" wrapText="1"/>
    </xf>
    <xf numFmtId="0" fontId="16" fillId="0" borderId="3" xfId="0" applyFont="1" applyBorder="1" applyAlignment="1">
      <alignment horizontal="left" vertical="top" wrapText="1"/>
    </xf>
    <xf numFmtId="0" fontId="17" fillId="0" borderId="3" xfId="0" applyFont="1" applyBorder="1" applyAlignment="1">
      <alignment horizontal="left" vertical="top" wrapText="1"/>
    </xf>
    <xf numFmtId="167" fontId="18" fillId="0" borderId="3" xfId="0" applyNumberFormat="1" applyFont="1" applyBorder="1" applyAlignment="1">
      <alignment horizontal="center" vertical="top" wrapText="1"/>
    </xf>
    <xf numFmtId="0" fontId="18" fillId="2" borderId="3" xfId="0" applyFont="1" applyFill="1" applyBorder="1" applyAlignment="1">
      <alignment horizontal="center" vertical="top" wrapText="1"/>
    </xf>
    <xf numFmtId="0" fontId="17" fillId="0" borderId="3" xfId="0" applyFont="1" applyBorder="1" applyAlignment="1">
      <alignment vertical="top" wrapText="1"/>
    </xf>
    <xf numFmtId="167" fontId="18" fillId="9" borderId="3" xfId="0" applyNumberFormat="1" applyFont="1" applyFill="1" applyBorder="1" applyAlignment="1">
      <alignment horizontal="center" vertical="top" wrapText="1"/>
    </xf>
    <xf numFmtId="0" fontId="13" fillId="7" borderId="0" xfId="0" applyFont="1" applyFill="1" applyAlignment="1">
      <alignment horizontal="left" vertical="center" wrapText="1"/>
    </xf>
    <xf numFmtId="0" fontId="14" fillId="7" borderId="3" xfId="0" applyFont="1" applyFill="1" applyBorder="1" applyAlignment="1">
      <alignment horizontal="left" vertical="center" wrapText="1"/>
    </xf>
    <xf numFmtId="0" fontId="19" fillId="7" borderId="3" xfId="0" applyFont="1" applyFill="1" applyBorder="1" applyAlignment="1">
      <alignment horizontal="left" vertical="top" wrapText="1"/>
    </xf>
    <xf numFmtId="0" fontId="20" fillId="7" borderId="3" xfId="0" applyFont="1" applyFill="1" applyBorder="1" applyAlignment="1">
      <alignment vertical="top" wrapText="1"/>
    </xf>
    <xf numFmtId="0" fontId="21" fillId="7" borderId="3" xfId="0" applyFont="1" applyFill="1" applyBorder="1" applyAlignment="1">
      <alignment horizontal="center" vertical="top" wrapText="1"/>
    </xf>
    <xf numFmtId="167" fontId="21" fillId="7" borderId="3" xfId="0" applyNumberFormat="1" applyFont="1" applyFill="1" applyBorder="1" applyAlignment="1">
      <alignment horizontal="center" vertical="top" wrapText="1"/>
    </xf>
    <xf numFmtId="168" fontId="20" fillId="7" borderId="3" xfId="0" applyNumberFormat="1" applyFont="1" applyFill="1" applyBorder="1"/>
    <xf numFmtId="0" fontId="21" fillId="7" borderId="3" xfId="0" applyFont="1" applyFill="1" applyBorder="1" applyAlignment="1">
      <alignment horizontal="left" vertical="top" wrapText="1"/>
    </xf>
    <xf numFmtId="0" fontId="18" fillId="2" borderId="3" xfId="0" applyFont="1" applyFill="1" applyBorder="1" applyAlignment="1">
      <alignment vertical="top" wrapText="1"/>
    </xf>
    <xf numFmtId="0" fontId="13" fillId="7" borderId="12" xfId="0" applyFont="1" applyFill="1" applyBorder="1" applyAlignment="1">
      <alignment horizontal="left" vertical="top" wrapText="1"/>
    </xf>
    <xf numFmtId="0" fontId="13" fillId="9" borderId="12" xfId="0" applyFont="1" applyFill="1" applyBorder="1" applyAlignment="1">
      <alignment horizontal="left" vertical="top" wrapText="1"/>
    </xf>
    <xf numFmtId="0" fontId="19" fillId="9" borderId="3" xfId="0" applyFont="1" applyFill="1" applyBorder="1" applyAlignment="1">
      <alignment horizontal="left" vertical="top" wrapText="1"/>
    </xf>
    <xf numFmtId="0" fontId="20" fillId="9" borderId="3" xfId="0" applyFont="1" applyFill="1" applyBorder="1" applyAlignment="1">
      <alignment vertical="top" wrapText="1"/>
    </xf>
    <xf numFmtId="0" fontId="21" fillId="9" borderId="3" xfId="0" applyFont="1" applyFill="1" applyBorder="1" applyAlignment="1">
      <alignment horizontal="left" vertical="top" wrapText="1"/>
    </xf>
    <xf numFmtId="167" fontId="21" fillId="9" borderId="3" xfId="0" applyNumberFormat="1" applyFont="1" applyFill="1" applyBorder="1" applyAlignment="1">
      <alignment horizontal="left" vertical="top" wrapText="1"/>
    </xf>
    <xf numFmtId="165" fontId="20" fillId="9" borderId="3" xfId="0" applyNumberFormat="1" applyFont="1" applyFill="1" applyBorder="1"/>
    <xf numFmtId="0" fontId="24" fillId="7" borderId="2" xfId="0" applyFont="1" applyFill="1" applyBorder="1" applyAlignment="1">
      <alignment horizontal="left" vertical="top" wrapText="1"/>
    </xf>
    <xf numFmtId="0" fontId="8" fillId="7" borderId="3" xfId="0" applyFont="1" applyFill="1" applyBorder="1" applyAlignment="1">
      <alignment horizontal="left" vertical="center" wrapText="1"/>
    </xf>
    <xf numFmtId="166" fontId="24" fillId="7" borderId="3" xfId="0" applyNumberFormat="1" applyFont="1" applyFill="1" applyBorder="1" applyAlignment="1">
      <alignment horizontal="left" vertical="top" wrapText="1"/>
    </xf>
    <xf numFmtId="0" fontId="24" fillId="7" borderId="3" xfId="0" applyFont="1" applyFill="1" applyBorder="1" applyAlignment="1">
      <alignment horizontal="left" vertical="top" wrapText="1"/>
    </xf>
    <xf numFmtId="166" fontId="24" fillId="7" borderId="3" xfId="0" applyNumberFormat="1" applyFont="1" applyFill="1" applyBorder="1" applyAlignment="1">
      <alignment horizontal="center" vertical="top" wrapText="1"/>
    </xf>
    <xf numFmtId="167" fontId="24" fillId="7" borderId="3" xfId="0" applyNumberFormat="1" applyFont="1" applyFill="1" applyBorder="1" applyAlignment="1">
      <alignment horizontal="center" vertical="top" wrapText="1"/>
    </xf>
    <xf numFmtId="168" fontId="8" fillId="7" borderId="3" xfId="0" applyNumberFormat="1" applyFont="1" applyFill="1" applyBorder="1"/>
    <xf numFmtId="167" fontId="18" fillId="9" borderId="3" xfId="0" applyNumberFormat="1" applyFont="1" applyFill="1" applyBorder="1" applyAlignment="1" applyProtection="1">
      <alignment horizontal="center" vertical="top" wrapText="1"/>
      <protection locked="0"/>
    </xf>
    <xf numFmtId="167" fontId="32" fillId="0" borderId="3" xfId="7" applyNumberFormat="1" applyFont="1" applyFill="1" applyBorder="1" applyAlignment="1" applyProtection="1">
      <alignment horizontal="center" vertical="top" wrapText="1"/>
      <protection locked="0"/>
    </xf>
    <xf numFmtId="0" fontId="18" fillId="12" borderId="3" xfId="0" applyFont="1" applyFill="1" applyBorder="1" applyAlignment="1">
      <alignment horizontal="center" vertical="top"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4" fillId="9" borderId="3" xfId="0" applyFont="1" applyFill="1" applyBorder="1" applyAlignment="1">
      <alignment horizontal="left" vertical="center" wrapText="1"/>
    </xf>
    <xf numFmtId="167" fontId="0" fillId="0" borderId="0" xfId="0" applyNumberFormat="1"/>
    <xf numFmtId="169" fontId="0" fillId="0" borderId="0" xfId="0" applyNumberFormat="1"/>
    <xf numFmtId="0" fontId="2" fillId="2" borderId="1" xfId="0" applyFont="1" applyFill="1" applyBorder="1" applyAlignment="1">
      <alignment horizontal="center"/>
    </xf>
    <xf numFmtId="0" fontId="3" fillId="2" borderId="1" xfId="0" applyFont="1" applyFill="1" applyBorder="1" applyAlignment="1">
      <alignment horizontal="center" vertical="top" wrapText="1"/>
    </xf>
    <xf numFmtId="0" fontId="4" fillId="0" borderId="1" xfId="0" applyFont="1" applyBorder="1" applyAlignment="1">
      <alignment horizontal="left" vertical="top" wrapText="1"/>
    </xf>
    <xf numFmtId="0" fontId="13" fillId="0" borderId="7" xfId="0" applyFont="1" applyBorder="1" applyAlignment="1">
      <alignment horizontal="left" vertical="center" wrapText="1"/>
    </xf>
    <xf numFmtId="0" fontId="14" fillId="0" borderId="3" xfId="0" applyFont="1" applyBorder="1" applyAlignment="1">
      <alignment horizontal="left" vertical="center" wrapText="1"/>
    </xf>
    <xf numFmtId="0" fontId="13" fillId="0" borderId="12" xfId="0" applyFont="1" applyBorder="1" applyAlignment="1">
      <alignment horizontal="left" vertical="center" wrapText="1"/>
    </xf>
    <xf numFmtId="0" fontId="14" fillId="0" borderId="4" xfId="0" applyFont="1" applyBorder="1" applyAlignment="1">
      <alignment horizontal="left" vertical="center" wrapText="1"/>
    </xf>
    <xf numFmtId="0" fontId="13" fillId="0" borderId="10" xfId="0" applyFont="1" applyBorder="1" applyAlignment="1">
      <alignment horizontal="left" vertical="center" wrapText="1"/>
    </xf>
    <xf numFmtId="0" fontId="14" fillId="0" borderId="11" xfId="0" applyFont="1" applyBorder="1" applyAlignment="1">
      <alignment horizontal="left" vertical="center" wrapText="1"/>
    </xf>
    <xf numFmtId="0" fontId="22" fillId="0" borderId="3" xfId="0" applyFont="1" applyBorder="1" applyAlignment="1">
      <alignment horizontal="left" vertical="center"/>
    </xf>
    <xf numFmtId="0" fontId="14" fillId="0" borderId="9" xfId="0" applyFont="1" applyBorder="1" applyAlignment="1">
      <alignment horizontal="left" vertical="center" wrapText="1"/>
    </xf>
    <xf numFmtId="0" fontId="14" fillId="9" borderId="3" xfId="0" applyFont="1" applyFill="1" applyBorder="1" applyAlignment="1">
      <alignment horizontal="left" vertical="center" wrapText="1"/>
    </xf>
    <xf numFmtId="0" fontId="14" fillId="0" borderId="8" xfId="0" applyFont="1" applyBorder="1" applyAlignment="1">
      <alignment horizontal="left" vertical="center" wrapText="1"/>
    </xf>
    <xf numFmtId="0" fontId="8" fillId="7" borderId="4"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26" fillId="7" borderId="4" xfId="0" applyFont="1" applyFill="1" applyBorder="1" applyAlignment="1">
      <alignment horizontal="center"/>
    </xf>
    <xf numFmtId="0" fontId="18" fillId="0" borderId="3" xfId="0" applyFont="1" applyFill="1" applyBorder="1" applyAlignment="1">
      <alignment horizontal="center" vertical="top" wrapText="1"/>
    </xf>
  </cellXfs>
  <cellStyles count="8">
    <cellStyle name="Bad" xfId="7" builtinId="27"/>
    <cellStyle name="Normal" xfId="0" builtinId="0"/>
    <cellStyle name="Pivot Table Category" xfId="1" xr:uid="{00000000-0005-0000-0000-000002000000}"/>
    <cellStyle name="Pivot Table Corner" xfId="2" xr:uid="{00000000-0005-0000-0000-000003000000}"/>
    <cellStyle name="Pivot Table Field" xfId="3" xr:uid="{00000000-0005-0000-0000-000004000000}"/>
    <cellStyle name="Pivot Table Result" xfId="4" xr:uid="{00000000-0005-0000-0000-000005000000}"/>
    <cellStyle name="Pivot Table Title" xfId="5" xr:uid="{00000000-0005-0000-0000-000006000000}"/>
    <cellStyle name="Pivot Table Value" xfId="6" xr:uid="{00000000-0005-0000-0000-000007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2CC"/>
      <rgbColor rgb="FFD9D9D9"/>
      <rgbColor rgb="FF660066"/>
      <rgbColor rgb="FFFF8080"/>
      <rgbColor rgb="FF0066CC"/>
      <rgbColor rgb="FFB3CEFB"/>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CE5C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personId="{00000000-0000-0000-0000-000000000000}" id="{3DA55439-7C79-4A08-A6C2-86D670F99593}">
    <text>[Threaded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topLeftCell="A2" zoomScaleNormal="100" workbookViewId="0">
      <selection activeCell="P19" sqref="P19"/>
    </sheetView>
  </sheetViews>
  <sheetFormatPr defaultColWidth="8.5703125" defaultRowHeight="12.6"/>
  <sheetData>
    <row r="1" spans="1:11" ht="18.600000000000001">
      <c r="A1" s="89" t="s">
        <v>0</v>
      </c>
      <c r="B1" s="89"/>
      <c r="C1" s="89"/>
      <c r="D1" s="89"/>
      <c r="E1" s="89"/>
      <c r="F1" s="89"/>
      <c r="G1" s="89"/>
      <c r="H1" s="89"/>
      <c r="I1" s="89"/>
      <c r="J1" s="89"/>
      <c r="K1" s="89"/>
    </row>
    <row r="2" spans="1:11" ht="32.25" customHeight="1">
      <c r="A2" s="90" t="s">
        <v>1</v>
      </c>
      <c r="B2" s="90"/>
      <c r="C2" s="90"/>
      <c r="D2" s="90"/>
      <c r="E2" s="90"/>
      <c r="F2" s="90"/>
      <c r="G2" s="90"/>
      <c r="H2" s="90"/>
      <c r="I2" s="90"/>
      <c r="J2" s="90"/>
      <c r="K2" s="90"/>
    </row>
    <row r="3" spans="1:11" ht="30" customHeight="1">
      <c r="A3" s="91" t="s">
        <v>2</v>
      </c>
      <c r="B3" s="91"/>
      <c r="C3" s="91"/>
      <c r="D3" s="91"/>
      <c r="E3" s="91"/>
      <c r="F3" s="91"/>
      <c r="G3" s="91"/>
      <c r="H3" s="91"/>
      <c r="I3" s="91"/>
      <c r="J3" s="91"/>
      <c r="K3" s="91"/>
    </row>
    <row r="4" spans="1:11" ht="30" customHeight="1">
      <c r="A4" s="91"/>
      <c r="B4" s="91"/>
      <c r="C4" s="91"/>
      <c r="D4" s="91"/>
      <c r="E4" s="91"/>
      <c r="F4" s="91"/>
      <c r="G4" s="91"/>
      <c r="H4" s="91"/>
      <c r="I4" s="91"/>
      <c r="J4" s="91"/>
      <c r="K4" s="91"/>
    </row>
    <row r="5" spans="1:11" ht="30" customHeight="1">
      <c r="A5" s="91"/>
      <c r="B5" s="91"/>
      <c r="C5" s="91"/>
      <c r="D5" s="91"/>
      <c r="E5" s="91"/>
      <c r="F5" s="91"/>
      <c r="G5" s="91"/>
      <c r="H5" s="91"/>
      <c r="I5" s="91"/>
      <c r="J5" s="91"/>
      <c r="K5" s="91"/>
    </row>
    <row r="6" spans="1:11" ht="30" customHeight="1">
      <c r="A6" s="91"/>
      <c r="B6" s="91"/>
      <c r="C6" s="91"/>
      <c r="D6" s="91"/>
      <c r="E6" s="91"/>
      <c r="F6" s="91"/>
      <c r="G6" s="91"/>
      <c r="H6" s="91"/>
      <c r="I6" s="91"/>
      <c r="J6" s="91"/>
      <c r="K6" s="91"/>
    </row>
    <row r="7" spans="1:11" ht="30" customHeight="1">
      <c r="A7" s="91"/>
      <c r="B7" s="91"/>
      <c r="C7" s="91"/>
      <c r="D7" s="91"/>
      <c r="E7" s="91"/>
      <c r="F7" s="91"/>
      <c r="G7" s="91"/>
      <c r="H7" s="91"/>
      <c r="I7" s="91"/>
      <c r="J7" s="91"/>
      <c r="K7" s="91"/>
    </row>
    <row r="8" spans="1:11" ht="30" customHeight="1">
      <c r="A8" s="91"/>
      <c r="B8" s="91"/>
      <c r="C8" s="91"/>
      <c r="D8" s="91"/>
      <c r="E8" s="91"/>
      <c r="F8" s="91"/>
      <c r="G8" s="91"/>
      <c r="H8" s="91"/>
      <c r="I8" s="91"/>
      <c r="J8" s="91"/>
      <c r="K8" s="91"/>
    </row>
    <row r="9" spans="1:11" ht="30" customHeight="1">
      <c r="A9" s="91"/>
      <c r="B9" s="91"/>
      <c r="C9" s="91"/>
      <c r="D9" s="91"/>
      <c r="E9" s="91"/>
      <c r="F9" s="91"/>
      <c r="G9" s="91"/>
      <c r="H9" s="91"/>
      <c r="I9" s="91"/>
      <c r="J9" s="91"/>
      <c r="K9" s="91"/>
    </row>
    <row r="10" spans="1:11" ht="30" customHeight="1">
      <c r="A10" s="91"/>
      <c r="B10" s="91"/>
      <c r="C10" s="91"/>
      <c r="D10" s="91"/>
      <c r="E10" s="91"/>
      <c r="F10" s="91"/>
      <c r="G10" s="91"/>
      <c r="H10" s="91"/>
      <c r="I10" s="91"/>
      <c r="J10" s="91"/>
      <c r="K10" s="91"/>
    </row>
    <row r="11" spans="1:11" ht="30" customHeight="1">
      <c r="A11" s="91"/>
      <c r="B11" s="91"/>
      <c r="C11" s="91"/>
      <c r="D11" s="91"/>
      <c r="E11" s="91"/>
      <c r="F11" s="91"/>
      <c r="G11" s="91"/>
      <c r="H11" s="91"/>
      <c r="I11" s="91"/>
      <c r="J11" s="91"/>
      <c r="K11" s="91"/>
    </row>
    <row r="12" spans="1:11" ht="30" customHeight="1">
      <c r="A12" s="91"/>
      <c r="B12" s="91"/>
      <c r="C12" s="91"/>
      <c r="D12" s="91"/>
      <c r="E12" s="91"/>
      <c r="F12" s="91"/>
      <c r="G12" s="91"/>
      <c r="H12" s="91"/>
      <c r="I12" s="91"/>
      <c r="J12" s="91"/>
      <c r="K12" s="91"/>
    </row>
    <row r="13" spans="1:11" ht="30" customHeight="1">
      <c r="A13" s="91"/>
      <c r="B13" s="91"/>
      <c r="C13" s="91"/>
      <c r="D13" s="91"/>
      <c r="E13" s="91"/>
      <c r="F13" s="91"/>
      <c r="G13" s="91"/>
      <c r="H13" s="91"/>
      <c r="I13" s="91"/>
      <c r="J13" s="91"/>
      <c r="K13" s="91"/>
    </row>
    <row r="14" spans="1:11" ht="30" customHeight="1">
      <c r="A14" s="91"/>
      <c r="B14" s="91"/>
      <c r="C14" s="91"/>
      <c r="D14" s="91"/>
      <c r="E14" s="91"/>
      <c r="F14" s="91"/>
      <c r="G14" s="91"/>
      <c r="H14" s="91"/>
      <c r="I14" s="91"/>
      <c r="J14" s="91"/>
      <c r="K14" s="91"/>
    </row>
  </sheetData>
  <mergeCells count="3">
    <mergeCell ref="A1:K1"/>
    <mergeCell ref="A2:K2"/>
    <mergeCell ref="A3:K14"/>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4"/>
  <sheetViews>
    <sheetView tabSelected="1" topLeftCell="E1" zoomScaleNormal="100" workbookViewId="0">
      <pane ySplit="3" topLeftCell="A81" activePane="bottomLeft" state="frozen"/>
      <selection pane="bottomLeft" activeCell="M90" sqref="M90"/>
    </sheetView>
  </sheetViews>
  <sheetFormatPr defaultColWidth="12.5703125" defaultRowHeight="12.95"/>
  <cols>
    <col min="1" max="1" width="31.5703125" style="1" customWidth="1"/>
    <col min="2" max="2" width="38.140625" style="2" customWidth="1"/>
    <col min="3" max="3" width="13.7109375" style="3" customWidth="1"/>
    <col min="4" max="4" width="14.5703125" style="3" customWidth="1"/>
    <col min="5" max="5" width="14.140625" style="1" customWidth="1"/>
    <col min="6" max="6" width="21.85546875" style="1" customWidth="1"/>
    <col min="7" max="7" width="34.5703125" style="1" customWidth="1"/>
    <col min="8" max="8" width="7.42578125" customWidth="1"/>
    <col min="9" max="9" width="15.42578125" style="4" customWidth="1"/>
    <col min="10" max="10" width="5.85546875" customWidth="1"/>
    <col min="11" max="11" width="15.85546875" style="4" customWidth="1"/>
    <col min="12" max="12" width="6.28515625" customWidth="1"/>
    <col min="13" max="13" width="16" style="4" customWidth="1"/>
    <col min="14" max="14" width="16.28515625" customWidth="1"/>
    <col min="16" max="17" width="40.85546875" hidden="1" customWidth="1"/>
    <col min="18" max="20" width="12.5703125" hidden="1"/>
  </cols>
  <sheetData>
    <row r="1" spans="1:20" s="11" customFormat="1" ht="15.75" customHeight="1">
      <c r="A1" s="5"/>
      <c r="B1" s="6"/>
      <c r="C1" s="7"/>
      <c r="D1" s="7"/>
      <c r="E1" s="8"/>
      <c r="F1" s="8"/>
      <c r="G1" s="8"/>
      <c r="H1" s="9"/>
      <c r="I1" s="10"/>
      <c r="K1" s="12"/>
      <c r="M1" s="12"/>
    </row>
    <row r="2" spans="1:20" s="15" customFormat="1" ht="27.75" customHeight="1">
      <c r="A2" s="109" t="s">
        <v>3</v>
      </c>
      <c r="B2" s="105" t="s">
        <v>4</v>
      </c>
      <c r="C2" s="105" t="s">
        <v>5</v>
      </c>
      <c r="D2" s="105" t="s">
        <v>6</v>
      </c>
      <c r="E2" s="105" t="s">
        <v>7</v>
      </c>
      <c r="F2" s="105" t="s">
        <v>8</v>
      </c>
      <c r="G2" s="105" t="s">
        <v>9</v>
      </c>
      <c r="H2" s="106" t="s">
        <v>10</v>
      </c>
      <c r="I2" s="106"/>
      <c r="J2" s="107" t="s">
        <v>11</v>
      </c>
      <c r="K2" s="107"/>
      <c r="L2" s="108" t="s">
        <v>12</v>
      </c>
      <c r="M2" s="108"/>
      <c r="N2" s="102" t="s">
        <v>13</v>
      </c>
      <c r="O2" s="13"/>
      <c r="P2" s="14" t="s">
        <v>14</v>
      </c>
      <c r="Q2" s="14" t="s">
        <v>15</v>
      </c>
      <c r="R2" s="14" t="s">
        <v>6</v>
      </c>
      <c r="S2" s="14" t="s">
        <v>16</v>
      </c>
      <c r="T2" s="14" t="s">
        <v>17</v>
      </c>
    </row>
    <row r="3" spans="1:20" s="15" customFormat="1" ht="14.45">
      <c r="A3" s="109"/>
      <c r="B3" s="105"/>
      <c r="C3" s="105"/>
      <c r="D3" s="105"/>
      <c r="E3" s="105"/>
      <c r="F3" s="105"/>
      <c r="G3" s="105"/>
      <c r="H3" s="83" t="s">
        <v>18</v>
      </c>
      <c r="I3" s="42" t="s">
        <v>19</v>
      </c>
      <c r="J3" s="84" t="s">
        <v>18</v>
      </c>
      <c r="K3" s="43" t="s">
        <v>20</v>
      </c>
      <c r="L3" s="85" t="s">
        <v>18</v>
      </c>
      <c r="M3" s="44" t="s">
        <v>20</v>
      </c>
      <c r="N3" s="102"/>
      <c r="O3" s="13"/>
      <c r="P3" s="13"/>
      <c r="Q3" s="13"/>
      <c r="R3" s="13"/>
      <c r="S3" s="13"/>
      <c r="T3" s="13"/>
    </row>
    <row r="4" spans="1:20" ht="3" customHeight="1">
      <c r="A4" s="45"/>
      <c r="B4" s="46"/>
      <c r="C4" s="47"/>
      <c r="D4" s="47"/>
      <c r="E4" s="48"/>
      <c r="F4" s="48"/>
      <c r="G4" s="48"/>
      <c r="H4" s="49"/>
      <c r="I4" s="50"/>
      <c r="J4" s="49"/>
      <c r="K4" s="50"/>
      <c r="L4" s="49"/>
      <c r="M4" s="50"/>
      <c r="N4" s="16"/>
      <c r="O4" s="16"/>
      <c r="P4" s="16"/>
      <c r="Q4" s="16"/>
      <c r="R4" s="16"/>
      <c r="S4" s="16"/>
      <c r="T4" s="16"/>
    </row>
    <row r="5" spans="1:20" ht="47.1" customHeight="1" thickBot="1">
      <c r="A5" s="103" t="s">
        <v>21</v>
      </c>
      <c r="B5" s="93" t="s">
        <v>22</v>
      </c>
      <c r="C5" s="51" t="str">
        <f t="shared" ref="C5:D10" si="0">Q5</f>
        <v xml:space="preserve">Guidance, Counseling and Testing </v>
      </c>
      <c r="D5" s="51" t="str">
        <f t="shared" si="0"/>
        <v>01-Professional Salaries</v>
      </c>
      <c r="E5" s="51" t="s">
        <v>23</v>
      </c>
      <c r="F5" s="51" t="s">
        <v>24</v>
      </c>
      <c r="G5" s="52" t="s">
        <v>25</v>
      </c>
      <c r="H5" s="39">
        <v>200</v>
      </c>
      <c r="I5" s="40">
        <v>16092977</v>
      </c>
      <c r="J5" s="41">
        <v>205</v>
      </c>
      <c r="K5" s="40">
        <f>(I5+500000)*1.03</f>
        <v>17090766.309999999</v>
      </c>
      <c r="L5" s="41">
        <v>205</v>
      </c>
      <c r="M5" s="40">
        <f>K5*1.03</f>
        <v>17603489.2993</v>
      </c>
      <c r="P5" t="str">
        <f t="shared" ref="P5:P36" si="1">_xlfn.CONCAT(F5,"-",E5)</f>
        <v>Guidance and Psychological-Salaries - Other</v>
      </c>
      <c r="Q5" t="str">
        <f>IFERROR(VLOOKUP($P5,'Short Crosswalk'!$A$1:$G$29,4,0),"")</f>
        <v xml:space="preserve">Guidance, Counseling and Testing </v>
      </c>
      <c r="R5" t="str">
        <f>IFERROR(VLOOKUP($P5,'Short Crosswalk'!$A$1:$G$29,7,0),"")</f>
        <v>01-Professional Salaries</v>
      </c>
      <c r="S5" t="str">
        <f t="shared" ref="S5:S36" si="2">_xlfn.CONCAT(Q5," ", R5)</f>
        <v>Guidance, Counseling and Testing  01-Professional Salaries</v>
      </c>
      <c r="T5">
        <f t="shared" ref="T5:T36" si="3">IFERROR(VALUE(LEFT(D5,2)),"")</f>
        <v>1</v>
      </c>
    </row>
    <row r="6" spans="1:20" ht="24.6" customHeight="1" thickBot="1">
      <c r="A6" s="103"/>
      <c r="B6" s="93"/>
      <c r="C6" s="51" t="str">
        <f t="shared" si="0"/>
        <v xml:space="preserve">Guidance, Counseling and Testing </v>
      </c>
      <c r="D6" s="51" t="str">
        <f t="shared" si="0"/>
        <v>04-Contracted Services</v>
      </c>
      <c r="E6" s="51" t="s">
        <v>26</v>
      </c>
      <c r="F6" s="51" t="s">
        <v>24</v>
      </c>
      <c r="G6" s="52" t="s">
        <v>27</v>
      </c>
      <c r="H6" s="54"/>
      <c r="I6" s="40">
        <v>240000</v>
      </c>
      <c r="J6" s="54"/>
      <c r="K6" s="40">
        <f>I6*1.03</f>
        <v>247200</v>
      </c>
      <c r="L6" s="54"/>
      <c r="M6" s="40">
        <f>K6*1.03</f>
        <v>254616</v>
      </c>
      <c r="P6" t="str">
        <f t="shared" si="1"/>
        <v>Guidance and Psychological-Contractual Services</v>
      </c>
      <c r="Q6" t="str">
        <f>IFERROR(VLOOKUP($P6,'Short Crosswalk'!$A$1:$G$29,4,0),"")</f>
        <v xml:space="preserve">Guidance, Counseling and Testing </v>
      </c>
      <c r="R6" t="str">
        <f>IFERROR(VLOOKUP($P6,'Short Crosswalk'!$A$1:$G$29,7,0),"")</f>
        <v>04-Contracted Services</v>
      </c>
      <c r="S6" t="str">
        <f t="shared" si="2"/>
        <v>Guidance, Counseling and Testing  04-Contracted Services</v>
      </c>
      <c r="T6">
        <f t="shared" si="3"/>
        <v>4</v>
      </c>
    </row>
    <row r="7" spans="1:20" ht="32.1" thickBot="1">
      <c r="A7" s="103"/>
      <c r="B7" s="93"/>
      <c r="C7" s="51" t="str">
        <f t="shared" si="0"/>
        <v xml:space="preserve">Instructional Materials, Equipment and Technology </v>
      </c>
      <c r="D7" s="51" t="str">
        <f t="shared" si="0"/>
        <v>05-Supplies and Materials</v>
      </c>
      <c r="E7" s="51" t="s">
        <v>28</v>
      </c>
      <c r="F7" s="51" t="s">
        <v>29</v>
      </c>
      <c r="G7" s="52" t="s">
        <v>30</v>
      </c>
      <c r="H7" s="54"/>
      <c r="I7" s="40"/>
      <c r="J7" s="54"/>
      <c r="K7" s="40"/>
      <c r="L7" s="54"/>
      <c r="M7" s="40"/>
      <c r="P7" t="str">
        <f t="shared" si="1"/>
        <v>Instructional Materials, Equip., and Tech.-Supplies and Materials</v>
      </c>
      <c r="Q7" t="str">
        <f>IFERROR(VLOOKUP($P7,'Short Crosswalk'!$A$1:$G$29,4,0),"")</f>
        <v xml:space="preserve">Instructional Materials, Equipment and Technology </v>
      </c>
      <c r="R7" t="str">
        <f>IFERROR(VLOOKUP($P7,'Short Crosswalk'!$A$1:$G$29,7,0),"")</f>
        <v>05-Supplies and Materials</v>
      </c>
      <c r="S7" t="str">
        <f t="shared" si="2"/>
        <v>Instructional Materials, Equipment and Technology  05-Supplies and Materials</v>
      </c>
      <c r="T7">
        <f t="shared" si="3"/>
        <v>5</v>
      </c>
    </row>
    <row r="8" spans="1:20" ht="25.5" customHeight="1">
      <c r="A8" s="103"/>
      <c r="B8" s="93"/>
      <c r="C8" s="51" t="str">
        <f t="shared" si="0"/>
        <v>Professional Development</v>
      </c>
      <c r="D8" s="51" t="str">
        <f t="shared" si="0"/>
        <v>04-Contracted Services</v>
      </c>
      <c r="E8" s="51" t="s">
        <v>26</v>
      </c>
      <c r="F8" s="51" t="s">
        <v>31</v>
      </c>
      <c r="G8" s="52" t="s">
        <v>32</v>
      </c>
      <c r="H8" s="54"/>
      <c r="I8" s="40">
        <v>350000</v>
      </c>
      <c r="J8" s="54"/>
      <c r="K8" s="40">
        <f>I8*1.03</f>
        <v>360500</v>
      </c>
      <c r="L8" s="54"/>
      <c r="M8" s="40">
        <f>K8*1.03</f>
        <v>371315</v>
      </c>
      <c r="P8" t="str">
        <f t="shared" si="1"/>
        <v>Professional Development-Contractual Services</v>
      </c>
      <c r="Q8" t="str">
        <f>IFERROR(VLOOKUP($P8,'Short Crosswalk'!$A$1:$G$29,4,0),"")</f>
        <v>Professional Development</v>
      </c>
      <c r="R8" t="str">
        <f>IFERROR(VLOOKUP($P8,'Short Crosswalk'!$A$1:$G$29,7,0),"")</f>
        <v>04-Contracted Services</v>
      </c>
      <c r="S8" t="str">
        <f t="shared" si="2"/>
        <v>Professional Development 04-Contracted Services</v>
      </c>
      <c r="T8">
        <f t="shared" si="3"/>
        <v>4</v>
      </c>
    </row>
    <row r="9" spans="1:20" ht="27" customHeight="1">
      <c r="A9" s="103"/>
      <c r="B9" s="93"/>
      <c r="C9" s="51" t="str">
        <f t="shared" si="0"/>
        <v xml:space="preserve">Operations and Maintenance </v>
      </c>
      <c r="D9" s="51" t="str">
        <f t="shared" si="0"/>
        <v>05-Supplies and Materials</v>
      </c>
      <c r="E9" s="51" t="s">
        <v>28</v>
      </c>
      <c r="F9" s="51" t="s">
        <v>33</v>
      </c>
      <c r="G9" s="55" t="s">
        <v>34</v>
      </c>
      <c r="H9" s="54"/>
      <c r="I9" s="40"/>
      <c r="J9" s="54"/>
      <c r="K9" s="40"/>
      <c r="L9" s="54"/>
      <c r="M9" s="40"/>
      <c r="P9" t="str">
        <f t="shared" si="1"/>
        <v>Operations and Maintenance-Supplies and Materials</v>
      </c>
      <c r="Q9" t="str">
        <f>IFERROR(VLOOKUP($P9,'Short Crosswalk'!$A$1:$G$29,4,0),"")</f>
        <v xml:space="preserve">Operations and Maintenance </v>
      </c>
      <c r="R9" t="str">
        <f>IFERROR(VLOOKUP($P9,'Short Crosswalk'!$A$1:$G$29,7,0),"")</f>
        <v>05-Supplies and Materials</v>
      </c>
      <c r="S9" t="str">
        <f t="shared" si="2"/>
        <v>Operations and Maintenance  05-Supplies and Materials</v>
      </c>
      <c r="T9">
        <f t="shared" si="3"/>
        <v>5</v>
      </c>
    </row>
    <row r="10" spans="1:20" ht="23.45" customHeight="1">
      <c r="A10" s="103"/>
      <c r="B10" s="93"/>
      <c r="C10" s="51" t="str">
        <f t="shared" si="0"/>
        <v xml:space="preserve">Benefits and Fixed Charges </v>
      </c>
      <c r="D10" s="51" t="str">
        <f t="shared" si="0"/>
        <v>04-Contracted Services</v>
      </c>
      <c r="E10" s="51" t="s">
        <v>26</v>
      </c>
      <c r="F10" s="51" t="s">
        <v>35</v>
      </c>
      <c r="G10" s="55" t="s">
        <v>36</v>
      </c>
      <c r="H10" s="54"/>
      <c r="I10" s="80">
        <f>H5*10000</f>
        <v>2000000</v>
      </c>
      <c r="J10" s="54"/>
      <c r="K10" s="80">
        <f>J5*10000</f>
        <v>2050000</v>
      </c>
      <c r="L10" s="54"/>
      <c r="M10" s="80">
        <f>L5*10000</f>
        <v>2050000</v>
      </c>
      <c r="P10" t="str">
        <f t="shared" si="1"/>
        <v>Benefits and Fixed Charges -Contractual Services</v>
      </c>
      <c r="Q10" t="str">
        <f>IFERROR(VLOOKUP($P10,'Short Crosswalk'!$A$1:$G$29,4,0),"")</f>
        <v xml:space="preserve">Benefits and Fixed Charges </v>
      </c>
      <c r="R10" t="str">
        <f>IFERROR(VLOOKUP($P10,'Short Crosswalk'!$A$1:$G$29,7,0),"")</f>
        <v>04-Contracted Services</v>
      </c>
      <c r="S10" t="str">
        <f t="shared" si="2"/>
        <v>Benefits and Fixed Charges  04-Contracted Services</v>
      </c>
      <c r="T10">
        <f t="shared" si="3"/>
        <v>4</v>
      </c>
    </row>
    <row r="11" spans="1:20" ht="13.5" customHeight="1">
      <c r="A11" s="57"/>
      <c r="B11" s="58"/>
      <c r="C11" s="59"/>
      <c r="D11" s="59"/>
      <c r="E11" s="59"/>
      <c r="F11" s="59"/>
      <c r="G11" s="60" t="s">
        <v>37</v>
      </c>
      <c r="H11" s="61">
        <f>H5</f>
        <v>200</v>
      </c>
      <c r="I11" s="62">
        <f>SUM(I5:I10)</f>
        <v>18682977</v>
      </c>
      <c r="J11" s="61">
        <f>J5</f>
        <v>205</v>
      </c>
      <c r="K11" s="62">
        <f>SUM(K5:K10)</f>
        <v>19748466.309999999</v>
      </c>
      <c r="L11" s="61">
        <f>L5</f>
        <v>205</v>
      </c>
      <c r="M11" s="62">
        <f>SUM(M5:M10)</f>
        <v>20279420.2993</v>
      </c>
      <c r="N11" s="63">
        <f>SUM(I11+K11+M11)</f>
        <v>58710863.609300002</v>
      </c>
      <c r="P11" t="str">
        <f t="shared" si="1"/>
        <v>-</v>
      </c>
      <c r="Q11" t="str">
        <f>IFERROR(VLOOKUP($P11,'Short Crosswalk'!$A$1:$G$29,4,0),"")</f>
        <v/>
      </c>
      <c r="R11" t="str">
        <f>IFERROR(VLOOKUP($P11,'Short Crosswalk'!$A$1:$G$29,7,0),"")</f>
        <v/>
      </c>
      <c r="S11" t="str">
        <f t="shared" si="2"/>
        <v xml:space="preserve"> </v>
      </c>
      <c r="T11" t="str">
        <f t="shared" si="3"/>
        <v/>
      </c>
    </row>
    <row r="12" spans="1:20" ht="26.45" customHeight="1">
      <c r="A12" s="104" t="s">
        <v>38</v>
      </c>
      <c r="B12" s="93" t="s">
        <v>39</v>
      </c>
      <c r="C12" s="51" t="str">
        <f t="shared" ref="C12:D16" si="4">Q12</f>
        <v>Instruction</v>
      </c>
      <c r="D12" s="51" t="str">
        <f t="shared" si="4"/>
        <v>01-Professional Salaries</v>
      </c>
      <c r="E12" s="51" t="s">
        <v>40</v>
      </c>
      <c r="F12" s="51" t="s">
        <v>41</v>
      </c>
      <c r="G12" s="55" t="s">
        <v>42</v>
      </c>
      <c r="H12" s="41">
        <v>4</v>
      </c>
      <c r="I12" s="40">
        <v>587000</v>
      </c>
      <c r="J12" s="41">
        <v>4</v>
      </c>
      <c r="K12" s="40">
        <f>I12*1.03</f>
        <v>604610</v>
      </c>
      <c r="L12" s="41">
        <v>4</v>
      </c>
      <c r="M12" s="40">
        <f>K12*1.03</f>
        <v>622748.30000000005</v>
      </c>
      <c r="P12" t="str">
        <f t="shared" si="1"/>
        <v>Instruction Leadership-Salaries - Instructional</v>
      </c>
      <c r="Q12" t="str">
        <f>IFERROR(VLOOKUP($P12,'Short Crosswalk'!$A$1:$G$29,4,0),"")</f>
        <v>Instruction</v>
      </c>
      <c r="R12" t="str">
        <f>IFERROR(VLOOKUP($P12,'Short Crosswalk'!$A$1:$G$29,7,0),"")</f>
        <v>01-Professional Salaries</v>
      </c>
      <c r="S12" t="str">
        <f t="shared" si="2"/>
        <v>Instruction 01-Professional Salaries</v>
      </c>
      <c r="T12">
        <f t="shared" si="3"/>
        <v>1</v>
      </c>
    </row>
    <row r="13" spans="1:20" ht="37.5" customHeight="1">
      <c r="A13" s="104"/>
      <c r="B13" s="93"/>
      <c r="C13" s="51" t="str">
        <f t="shared" si="4"/>
        <v>Teachers</v>
      </c>
      <c r="D13" s="51" t="str">
        <f t="shared" si="4"/>
        <v>01-Professional Salaries</v>
      </c>
      <c r="E13" s="51" t="s">
        <v>40</v>
      </c>
      <c r="F13" s="51" t="s">
        <v>43</v>
      </c>
      <c r="G13" s="55" t="s">
        <v>44</v>
      </c>
      <c r="H13" s="41">
        <v>44</v>
      </c>
      <c r="I13" s="40">
        <f>H13*100000</f>
        <v>4400000</v>
      </c>
      <c r="J13" s="41">
        <v>44</v>
      </c>
      <c r="K13" s="40">
        <f>I13*1.03</f>
        <v>4532000</v>
      </c>
      <c r="L13" s="41">
        <v>44</v>
      </c>
      <c r="M13" s="40">
        <f>K13*1.03</f>
        <v>4667960</v>
      </c>
      <c r="O13" s="87"/>
      <c r="P13" t="str">
        <f t="shared" si="1"/>
        <v>Classroom &amp; Specialist Teachers-Salaries - Instructional</v>
      </c>
      <c r="Q13" t="str">
        <f>IFERROR(VLOOKUP($P13,'Short Crosswalk'!$A$1:$G$29,4,0),"")</f>
        <v>Teachers</v>
      </c>
      <c r="R13" t="str">
        <f>IFERROR(VLOOKUP($P13,'Short Crosswalk'!$A$1:$G$29,7,0),"")</f>
        <v>01-Professional Salaries</v>
      </c>
      <c r="S13" t="str">
        <f t="shared" si="2"/>
        <v>Teachers 01-Professional Salaries</v>
      </c>
      <c r="T13">
        <f t="shared" si="3"/>
        <v>1</v>
      </c>
    </row>
    <row r="14" spans="1:20" ht="33" customHeight="1">
      <c r="A14" s="104"/>
      <c r="B14" s="93"/>
      <c r="C14" s="51" t="str">
        <f t="shared" si="4"/>
        <v xml:space="preserve">Instructional Materials, Equipment and Technology </v>
      </c>
      <c r="D14" s="51" t="str">
        <f t="shared" si="4"/>
        <v>05-Supplies and Materials</v>
      </c>
      <c r="E14" s="51" t="s">
        <v>28</v>
      </c>
      <c r="F14" s="51" t="s">
        <v>29</v>
      </c>
      <c r="G14" s="55" t="s">
        <v>45</v>
      </c>
      <c r="H14" s="54"/>
      <c r="I14" s="40"/>
      <c r="J14" s="54"/>
      <c r="K14" s="40"/>
      <c r="L14" s="54"/>
      <c r="M14" s="40"/>
      <c r="P14" t="str">
        <f t="shared" si="1"/>
        <v>Instructional Materials, Equip., and Tech.-Supplies and Materials</v>
      </c>
      <c r="Q14" t="str">
        <f>IFERROR(VLOOKUP($P14,'Short Crosswalk'!$A$1:$G$29,4,0),"")</f>
        <v xml:space="preserve">Instructional Materials, Equipment and Technology </v>
      </c>
      <c r="R14" t="str">
        <f>IFERROR(VLOOKUP($P14,'Short Crosswalk'!$A$1:$G$29,7,0),"")</f>
        <v>05-Supplies and Materials</v>
      </c>
      <c r="S14" t="str">
        <f t="shared" si="2"/>
        <v>Instructional Materials, Equipment and Technology  05-Supplies and Materials</v>
      </c>
      <c r="T14">
        <f t="shared" si="3"/>
        <v>5</v>
      </c>
    </row>
    <row r="15" spans="1:20" ht="24" customHeight="1">
      <c r="A15" s="104"/>
      <c r="B15" s="93"/>
      <c r="C15" s="51" t="str">
        <f t="shared" si="4"/>
        <v>Professional Development</v>
      </c>
      <c r="D15" s="51" t="str">
        <f t="shared" si="4"/>
        <v>04-Contracted Services</v>
      </c>
      <c r="E15" s="51" t="s">
        <v>26</v>
      </c>
      <c r="F15" s="51" t="s">
        <v>31</v>
      </c>
      <c r="G15" s="55" t="s">
        <v>46</v>
      </c>
      <c r="H15" s="54"/>
      <c r="I15" s="40">
        <v>60000</v>
      </c>
      <c r="J15" s="54"/>
      <c r="K15" s="40">
        <v>60000</v>
      </c>
      <c r="L15" s="54"/>
      <c r="M15" s="40">
        <v>60000</v>
      </c>
      <c r="P15" t="str">
        <f t="shared" si="1"/>
        <v>Professional Development-Contractual Services</v>
      </c>
      <c r="Q15" t="str">
        <f>IFERROR(VLOOKUP($P15,'Short Crosswalk'!$A$1:$G$29,4,0),"")</f>
        <v>Professional Development</v>
      </c>
      <c r="R15" t="str">
        <f>IFERROR(VLOOKUP($P15,'Short Crosswalk'!$A$1:$G$29,7,0),"")</f>
        <v>04-Contracted Services</v>
      </c>
      <c r="S15" t="str">
        <f t="shared" si="2"/>
        <v>Professional Development 04-Contracted Services</v>
      </c>
      <c r="T15">
        <f t="shared" si="3"/>
        <v>4</v>
      </c>
    </row>
    <row r="16" spans="1:20" ht="24" customHeight="1">
      <c r="A16" s="104"/>
      <c r="B16" s="93"/>
      <c r="C16" s="51" t="str">
        <f t="shared" si="4"/>
        <v xml:space="preserve">Benefits and Fixed Charges </v>
      </c>
      <c r="D16" s="51" t="str">
        <f t="shared" si="4"/>
        <v>04-Contracted Services</v>
      </c>
      <c r="E16" s="51" t="s">
        <v>26</v>
      </c>
      <c r="F16" s="51" t="s">
        <v>35</v>
      </c>
      <c r="G16" s="55" t="s">
        <v>36</v>
      </c>
      <c r="H16" s="54"/>
      <c r="I16" s="80">
        <v>480000</v>
      </c>
      <c r="J16" s="54"/>
      <c r="K16" s="80">
        <v>480000</v>
      </c>
      <c r="L16" s="54"/>
      <c r="M16" s="80">
        <v>480000</v>
      </c>
      <c r="P16" t="str">
        <f t="shared" si="1"/>
        <v>Benefits and Fixed Charges -Contractual Services</v>
      </c>
      <c r="Q16" t="str">
        <f>IFERROR(VLOOKUP($P16,'Short Crosswalk'!$A$1:$G$29,4,0),"")</f>
        <v xml:space="preserve">Benefits and Fixed Charges </v>
      </c>
      <c r="R16" t="str">
        <f>IFERROR(VLOOKUP($P16,'Short Crosswalk'!$A$1:$G$29,7,0),"")</f>
        <v>04-Contracted Services</v>
      </c>
      <c r="S16" t="str">
        <f t="shared" si="2"/>
        <v>Benefits and Fixed Charges  04-Contracted Services</v>
      </c>
      <c r="T16">
        <f t="shared" si="3"/>
        <v>4</v>
      </c>
    </row>
    <row r="17" spans="1:20" ht="13.5" customHeight="1">
      <c r="A17" s="57"/>
      <c r="B17" s="58"/>
      <c r="C17" s="59"/>
      <c r="D17" s="59"/>
      <c r="E17" s="59"/>
      <c r="F17" s="59"/>
      <c r="G17" s="60" t="s">
        <v>37</v>
      </c>
      <c r="H17" s="61">
        <f>H12+H13</f>
        <v>48</v>
      </c>
      <c r="I17" s="62">
        <f>SUM(I12:I16)</f>
        <v>5527000</v>
      </c>
      <c r="J17" s="61">
        <f>J12+J13</f>
        <v>48</v>
      </c>
      <c r="K17" s="62">
        <f>SUM(K12:K16)</f>
        <v>5676610</v>
      </c>
      <c r="L17" s="61">
        <f>L12+L13</f>
        <v>48</v>
      </c>
      <c r="M17" s="62">
        <f>SUM(M12:M16)</f>
        <v>5830708.2999999998</v>
      </c>
      <c r="N17" s="63">
        <f>SUM(I17+K17+M17)</f>
        <v>17034318.300000001</v>
      </c>
      <c r="P17" t="str">
        <f t="shared" si="1"/>
        <v>-</v>
      </c>
      <c r="Q17" t="str">
        <f>IFERROR(VLOOKUP($P17,'Short Crosswalk'!$A$1:$G$29,4,0),"")</f>
        <v/>
      </c>
      <c r="R17" t="str">
        <f>IFERROR(VLOOKUP($P17,'Short Crosswalk'!$A$1:$G$29,7,0),"")</f>
        <v/>
      </c>
      <c r="S17" t="str">
        <f t="shared" si="2"/>
        <v xml:space="preserve"> </v>
      </c>
      <c r="T17" t="str">
        <f t="shared" si="3"/>
        <v/>
      </c>
    </row>
    <row r="18" spans="1:20" ht="24" customHeight="1">
      <c r="A18" s="92" t="s">
        <v>47</v>
      </c>
      <c r="B18" s="93" t="s">
        <v>48</v>
      </c>
      <c r="C18" s="51" t="str">
        <f t="shared" ref="C18:D21" si="5">Q18</f>
        <v>Pupil Services</v>
      </c>
      <c r="D18" s="51" t="str">
        <f t="shared" si="5"/>
        <v>03-Other Salaries</v>
      </c>
      <c r="E18" s="51" t="s">
        <v>23</v>
      </c>
      <c r="F18" s="51" t="s">
        <v>49</v>
      </c>
      <c r="G18" s="55" t="s">
        <v>50</v>
      </c>
      <c r="H18" s="41">
        <v>12</v>
      </c>
      <c r="I18" s="40">
        <f>H18*60000</f>
        <v>720000</v>
      </c>
      <c r="J18" s="41">
        <v>12</v>
      </c>
      <c r="K18" s="40">
        <f>I18*1.03</f>
        <v>741600</v>
      </c>
      <c r="L18" s="41">
        <v>12</v>
      </c>
      <c r="M18" s="40">
        <f>K18*1.03</f>
        <v>763848</v>
      </c>
      <c r="O18" s="87"/>
      <c r="P18" t="str">
        <f t="shared" si="1"/>
        <v>Pupil Services-Salaries - Other</v>
      </c>
      <c r="Q18" t="str">
        <f>IFERROR(VLOOKUP($P18,'Short Crosswalk'!$A$1:$G$29,4,0),"")</f>
        <v>Pupil Services</v>
      </c>
      <c r="R18" t="str">
        <f>IFERROR(VLOOKUP($P18,'Short Crosswalk'!$A$1:$G$29,7,0),"")</f>
        <v>03-Other Salaries</v>
      </c>
      <c r="S18" t="str">
        <f t="shared" si="2"/>
        <v>Pupil Services 03-Other Salaries</v>
      </c>
      <c r="T18">
        <f t="shared" si="3"/>
        <v>3</v>
      </c>
    </row>
    <row r="19" spans="1:20" ht="24" customHeight="1">
      <c r="A19" s="92"/>
      <c r="B19" s="93"/>
      <c r="C19" s="51" t="str">
        <f t="shared" si="5"/>
        <v>Professional Development</v>
      </c>
      <c r="D19" s="51" t="str">
        <f t="shared" si="5"/>
        <v>04-Contracted Services</v>
      </c>
      <c r="E19" s="51" t="s">
        <v>26</v>
      </c>
      <c r="F19" s="51" t="s">
        <v>31</v>
      </c>
      <c r="G19" s="55" t="s">
        <v>51</v>
      </c>
      <c r="H19" s="54"/>
      <c r="I19" s="40">
        <v>30000</v>
      </c>
      <c r="J19" s="54"/>
      <c r="K19" s="40">
        <v>30000</v>
      </c>
      <c r="L19" s="54"/>
      <c r="M19" s="40">
        <v>30000</v>
      </c>
      <c r="P19" t="str">
        <f t="shared" si="1"/>
        <v>Professional Development-Contractual Services</v>
      </c>
      <c r="Q19" t="str">
        <f>IFERROR(VLOOKUP($P19,'Short Crosswalk'!$A$1:$G$29,4,0),"")</f>
        <v>Professional Development</v>
      </c>
      <c r="R19" t="str">
        <f>IFERROR(VLOOKUP($P19,'Short Crosswalk'!$A$1:$G$29,7,0),"")</f>
        <v>04-Contracted Services</v>
      </c>
      <c r="S19" t="str">
        <f t="shared" si="2"/>
        <v>Professional Development 04-Contracted Services</v>
      </c>
      <c r="T19">
        <f t="shared" si="3"/>
        <v>4</v>
      </c>
    </row>
    <row r="20" spans="1:20" ht="47.45" customHeight="1">
      <c r="A20" s="92"/>
      <c r="B20" s="93"/>
      <c r="C20" s="51" t="str">
        <f t="shared" si="5"/>
        <v>Teachers</v>
      </c>
      <c r="D20" s="51" t="str">
        <f t="shared" si="5"/>
        <v>01-Professional Salaries</v>
      </c>
      <c r="E20" s="51" t="s">
        <v>52</v>
      </c>
      <c r="F20" s="51" t="s">
        <v>43</v>
      </c>
      <c r="G20" s="55" t="s">
        <v>53</v>
      </c>
      <c r="H20" s="54"/>
      <c r="I20" s="40">
        <v>15000</v>
      </c>
      <c r="J20" s="54"/>
      <c r="K20" s="40">
        <v>15000</v>
      </c>
      <c r="L20" s="54"/>
      <c r="M20" s="40">
        <v>15000</v>
      </c>
      <c r="P20" t="str">
        <f t="shared" si="1"/>
        <v>Classroom &amp; Specialist Teachers-Stipends</v>
      </c>
      <c r="Q20" t="str">
        <f>IFERROR(VLOOKUP($P20,'Short Crosswalk'!$A$1:$G$29,4,0),"")</f>
        <v>Teachers</v>
      </c>
      <c r="R20" t="str">
        <f>IFERROR(VLOOKUP($P20,'Short Crosswalk'!$A$1:$G$29,7,0),"")</f>
        <v>01-Professional Salaries</v>
      </c>
      <c r="S20" t="str">
        <f t="shared" si="2"/>
        <v>Teachers 01-Professional Salaries</v>
      </c>
      <c r="T20">
        <f t="shared" si="3"/>
        <v>1</v>
      </c>
    </row>
    <row r="21" spans="1:20" ht="27" customHeight="1">
      <c r="A21" s="92"/>
      <c r="B21" s="93"/>
      <c r="C21" s="51" t="str">
        <f t="shared" si="5"/>
        <v xml:space="preserve">Benefits and Fixed Charges </v>
      </c>
      <c r="D21" s="51" t="str">
        <f t="shared" si="5"/>
        <v>04-Contracted Services</v>
      </c>
      <c r="E21" s="51" t="s">
        <v>26</v>
      </c>
      <c r="F21" s="51" t="s">
        <v>35</v>
      </c>
      <c r="G21" s="55" t="s">
        <v>36</v>
      </c>
      <c r="H21" s="54"/>
      <c r="I21" s="80">
        <v>120000</v>
      </c>
      <c r="J21" s="54"/>
      <c r="K21" s="80">
        <v>120000</v>
      </c>
      <c r="L21" s="54"/>
      <c r="M21" s="80">
        <v>120000</v>
      </c>
      <c r="P21" t="str">
        <f t="shared" si="1"/>
        <v>Benefits and Fixed Charges -Contractual Services</v>
      </c>
      <c r="Q21" t="str">
        <f>IFERROR(VLOOKUP($P21,'Short Crosswalk'!$A$1:$G$29,4,0),"")</f>
        <v xml:space="preserve">Benefits and Fixed Charges </v>
      </c>
      <c r="R21" t="str">
        <f>IFERROR(VLOOKUP($P21,'Short Crosswalk'!$A$1:$G$29,7,0),"")</f>
        <v>04-Contracted Services</v>
      </c>
      <c r="S21" t="str">
        <f t="shared" si="2"/>
        <v>Benefits and Fixed Charges  04-Contracted Services</v>
      </c>
      <c r="T21">
        <f t="shared" si="3"/>
        <v>4</v>
      </c>
    </row>
    <row r="22" spans="1:20" ht="13.5" customHeight="1">
      <c r="A22" s="57"/>
      <c r="B22" s="58"/>
      <c r="C22" s="59"/>
      <c r="D22" s="59"/>
      <c r="E22" s="59"/>
      <c r="F22" s="59"/>
      <c r="G22" s="60" t="s">
        <v>37</v>
      </c>
      <c r="H22" s="61">
        <f>H18</f>
        <v>12</v>
      </c>
      <c r="I22" s="62">
        <f>SUM(I18:I21)</f>
        <v>885000</v>
      </c>
      <c r="J22" s="61">
        <f>J18</f>
        <v>12</v>
      </c>
      <c r="K22" s="62">
        <f>SUM(K18:K21)</f>
        <v>906600</v>
      </c>
      <c r="L22" s="61">
        <f>L18</f>
        <v>12</v>
      </c>
      <c r="M22" s="62">
        <f>SUM(M18:M21)</f>
        <v>928848</v>
      </c>
      <c r="N22" s="63">
        <f>SUM(I22+K22+M22)</f>
        <v>2720448</v>
      </c>
      <c r="P22" t="str">
        <f t="shared" si="1"/>
        <v>-</v>
      </c>
      <c r="Q22" t="str">
        <f>IFERROR(VLOOKUP($P22,'Short Crosswalk'!$A$1:$G$29,4,0),"")</f>
        <v/>
      </c>
      <c r="R22" t="str">
        <f>IFERROR(VLOOKUP($P22,'Short Crosswalk'!$A$1:$G$29,7,0),"")</f>
        <v/>
      </c>
      <c r="S22" t="str">
        <f t="shared" si="2"/>
        <v xml:space="preserve"> </v>
      </c>
      <c r="T22" t="str">
        <f t="shared" si="3"/>
        <v/>
      </c>
    </row>
    <row r="23" spans="1:20" ht="34.5" customHeight="1">
      <c r="A23" s="101" t="s">
        <v>54</v>
      </c>
      <c r="B23" s="93" t="s">
        <v>55</v>
      </c>
      <c r="C23" s="51" t="str">
        <f t="shared" ref="C23:D27" si="6">Q23</f>
        <v>Instruction</v>
      </c>
      <c r="D23" s="51" t="str">
        <f t="shared" si="6"/>
        <v>01-Professional Salaries</v>
      </c>
      <c r="E23" s="51" t="s">
        <v>40</v>
      </c>
      <c r="F23" s="51" t="s">
        <v>41</v>
      </c>
      <c r="G23" s="55" t="s">
        <v>56</v>
      </c>
      <c r="H23" s="41">
        <v>19</v>
      </c>
      <c r="I23" s="40">
        <f>H23*130000+15*100000</f>
        <v>3970000</v>
      </c>
      <c r="J23" s="41">
        <v>19</v>
      </c>
      <c r="K23" s="40">
        <f>I23*1.03</f>
        <v>4089100</v>
      </c>
      <c r="L23" s="41">
        <v>19</v>
      </c>
      <c r="M23" s="40">
        <f>K23*1.03</f>
        <v>4211773</v>
      </c>
      <c r="O23" s="88"/>
      <c r="P23" t="str">
        <f t="shared" si="1"/>
        <v>Instruction Leadership-Salaries - Instructional</v>
      </c>
      <c r="Q23" t="str">
        <f>IFERROR(VLOOKUP($P23,'Short Crosswalk'!$A$1:$G$29,4,0),"")</f>
        <v>Instruction</v>
      </c>
      <c r="R23" t="str">
        <f>IFERROR(VLOOKUP($P23,'Short Crosswalk'!$A$1:$G$29,7,0),"")</f>
        <v>01-Professional Salaries</v>
      </c>
      <c r="S23" t="str">
        <f t="shared" si="2"/>
        <v>Instruction 01-Professional Salaries</v>
      </c>
      <c r="T23">
        <f t="shared" si="3"/>
        <v>1</v>
      </c>
    </row>
    <row r="24" spans="1:20" ht="36.950000000000003" customHeight="1">
      <c r="A24" s="101"/>
      <c r="B24" s="93"/>
      <c r="C24" s="51" t="str">
        <f t="shared" si="6"/>
        <v>Teachers</v>
      </c>
      <c r="D24" s="51" t="str">
        <f t="shared" si="6"/>
        <v>01-Professional Salaries</v>
      </c>
      <c r="E24" s="51" t="s">
        <v>52</v>
      </c>
      <c r="F24" s="51" t="s">
        <v>43</v>
      </c>
      <c r="G24" s="55" t="s">
        <v>57</v>
      </c>
      <c r="H24" s="54"/>
      <c r="I24" s="40">
        <v>80000</v>
      </c>
      <c r="J24" s="54"/>
      <c r="K24" s="40">
        <v>40000</v>
      </c>
      <c r="L24" s="54"/>
      <c r="M24" s="40">
        <v>40000</v>
      </c>
      <c r="P24" t="str">
        <f t="shared" si="1"/>
        <v>Classroom &amp; Specialist Teachers-Stipends</v>
      </c>
      <c r="Q24" t="str">
        <f>IFERROR(VLOOKUP($P24,'Short Crosswalk'!$A$1:$G$29,4,0),"")</f>
        <v>Teachers</v>
      </c>
      <c r="R24" t="str">
        <f>IFERROR(VLOOKUP($P24,'Short Crosswalk'!$A$1:$G$29,7,0),"")</f>
        <v>01-Professional Salaries</v>
      </c>
      <c r="S24" t="str">
        <f t="shared" si="2"/>
        <v>Teachers 01-Professional Salaries</v>
      </c>
      <c r="T24">
        <f t="shared" si="3"/>
        <v>1</v>
      </c>
    </row>
    <row r="25" spans="1:20" ht="31.5">
      <c r="A25" s="101"/>
      <c r="B25" s="93"/>
      <c r="C25" s="51" t="str">
        <f t="shared" si="6"/>
        <v xml:space="preserve">Instructional Materials, Equipment and Technology </v>
      </c>
      <c r="D25" s="51" t="str">
        <f t="shared" si="6"/>
        <v>05-Supplies and Materials</v>
      </c>
      <c r="E25" s="51" t="s">
        <v>28</v>
      </c>
      <c r="F25" s="51" t="s">
        <v>29</v>
      </c>
      <c r="G25" s="55" t="s">
        <v>58</v>
      </c>
      <c r="H25" s="54"/>
      <c r="I25" s="40">
        <v>300000</v>
      </c>
      <c r="J25" s="54"/>
      <c r="K25" s="40">
        <v>300000</v>
      </c>
      <c r="L25" s="54"/>
      <c r="M25" s="40">
        <v>300000</v>
      </c>
      <c r="P25" t="str">
        <f t="shared" si="1"/>
        <v>Instructional Materials, Equip., and Tech.-Supplies and Materials</v>
      </c>
      <c r="Q25" t="str">
        <f>IFERROR(VLOOKUP($P25,'Short Crosswalk'!$A$1:$G$29,4,0),"")</f>
        <v xml:space="preserve">Instructional Materials, Equipment and Technology </v>
      </c>
      <c r="R25" t="str">
        <f>IFERROR(VLOOKUP($P25,'Short Crosswalk'!$A$1:$G$29,7,0),"")</f>
        <v>05-Supplies and Materials</v>
      </c>
      <c r="S25" t="str">
        <f t="shared" si="2"/>
        <v>Instructional Materials, Equipment and Technology  05-Supplies and Materials</v>
      </c>
      <c r="T25">
        <f t="shared" si="3"/>
        <v>5</v>
      </c>
    </row>
    <row r="26" spans="1:20" ht="24" customHeight="1">
      <c r="A26" s="101"/>
      <c r="B26" s="93"/>
      <c r="C26" s="51" t="str">
        <f t="shared" si="6"/>
        <v>Professional Development</v>
      </c>
      <c r="D26" s="51" t="str">
        <f t="shared" si="6"/>
        <v>04-Contracted Services</v>
      </c>
      <c r="E26" s="51" t="s">
        <v>26</v>
      </c>
      <c r="F26" s="51" t="s">
        <v>31</v>
      </c>
      <c r="G26" s="55" t="s">
        <v>59</v>
      </c>
      <c r="H26" s="54"/>
      <c r="I26" s="40"/>
      <c r="J26" s="54"/>
      <c r="K26" s="40"/>
      <c r="L26" s="54"/>
      <c r="M26" s="40"/>
      <c r="P26" t="str">
        <f t="shared" si="1"/>
        <v>Professional Development-Contractual Services</v>
      </c>
      <c r="Q26" t="str">
        <f>IFERROR(VLOOKUP($P26,'Short Crosswalk'!$A$1:$G$29,4,0),"")</f>
        <v>Professional Development</v>
      </c>
      <c r="R26" t="str">
        <f>IFERROR(VLOOKUP($P26,'Short Crosswalk'!$A$1:$G$29,7,0),"")</f>
        <v>04-Contracted Services</v>
      </c>
      <c r="S26" t="str">
        <f t="shared" si="2"/>
        <v>Professional Development 04-Contracted Services</v>
      </c>
      <c r="T26">
        <f t="shared" si="3"/>
        <v>4</v>
      </c>
    </row>
    <row r="27" spans="1:20" ht="23.45" customHeight="1">
      <c r="A27" s="101"/>
      <c r="B27" s="93"/>
      <c r="C27" s="51" t="str">
        <f t="shared" si="6"/>
        <v xml:space="preserve">Benefits and Fixed Charges </v>
      </c>
      <c r="D27" s="51" t="str">
        <f t="shared" si="6"/>
        <v>04-Contracted Services</v>
      </c>
      <c r="E27" s="51" t="s">
        <v>26</v>
      </c>
      <c r="F27" s="51" t="s">
        <v>35</v>
      </c>
      <c r="G27" s="55" t="s">
        <v>36</v>
      </c>
      <c r="H27" s="54"/>
      <c r="I27" s="80">
        <v>190000</v>
      </c>
      <c r="J27" s="54"/>
      <c r="K27" s="80">
        <v>190000</v>
      </c>
      <c r="L27" s="54"/>
      <c r="M27" s="80">
        <v>190000</v>
      </c>
      <c r="P27" t="str">
        <f t="shared" si="1"/>
        <v>Benefits and Fixed Charges -Contractual Services</v>
      </c>
      <c r="Q27" t="str">
        <f>IFERROR(VLOOKUP($P27,'Short Crosswalk'!$A$1:$G$29,4,0),"")</f>
        <v xml:space="preserve">Benefits and Fixed Charges </v>
      </c>
      <c r="R27" t="str">
        <f>IFERROR(VLOOKUP($P27,'Short Crosswalk'!$A$1:$G$29,7,0),"")</f>
        <v>04-Contracted Services</v>
      </c>
      <c r="S27" t="str">
        <f t="shared" si="2"/>
        <v>Benefits and Fixed Charges  04-Contracted Services</v>
      </c>
      <c r="T27">
        <f t="shared" si="3"/>
        <v>4</v>
      </c>
    </row>
    <row r="28" spans="1:20" ht="13.5" customHeight="1">
      <c r="A28" s="101"/>
      <c r="B28" s="58"/>
      <c r="C28" s="59"/>
      <c r="D28" s="59"/>
      <c r="E28" s="59"/>
      <c r="F28" s="59"/>
      <c r="G28" s="60" t="s">
        <v>37</v>
      </c>
      <c r="H28" s="61">
        <f>H23</f>
        <v>19</v>
      </c>
      <c r="I28" s="62">
        <f>SUM(I23:I27)</f>
        <v>4540000</v>
      </c>
      <c r="J28" s="61">
        <f>J23</f>
        <v>19</v>
      </c>
      <c r="K28" s="62">
        <f>SUM(K23:K27)</f>
        <v>4619100</v>
      </c>
      <c r="L28" s="61">
        <f>L23</f>
        <v>19</v>
      </c>
      <c r="M28" s="62">
        <f>SUM(M23:M27)</f>
        <v>4741773</v>
      </c>
      <c r="N28" s="63">
        <f>SUM(I28+K28+M28)</f>
        <v>13900873</v>
      </c>
      <c r="P28" t="str">
        <f t="shared" si="1"/>
        <v>-</v>
      </c>
      <c r="Q28" t="str">
        <f>IFERROR(VLOOKUP($P28,'Short Crosswalk'!$A$1:$G$29,4,0),"")</f>
        <v/>
      </c>
      <c r="R28" t="str">
        <f>IFERROR(VLOOKUP($P28,'Short Crosswalk'!$A$1:$G$29,7,0),"")</f>
        <v/>
      </c>
      <c r="S28" t="str">
        <f t="shared" si="2"/>
        <v xml:space="preserve"> </v>
      </c>
      <c r="T28" t="str">
        <f t="shared" si="3"/>
        <v/>
      </c>
    </row>
    <row r="29" spans="1:20" ht="28.5" customHeight="1">
      <c r="A29" s="101"/>
      <c r="B29" s="93" t="s">
        <v>60</v>
      </c>
      <c r="C29" s="51" t="str">
        <f t="shared" ref="C29:D34" si="7">Q29</f>
        <v>Instruction</v>
      </c>
      <c r="D29" s="51" t="str">
        <f t="shared" si="7"/>
        <v>01-Professional Salaries</v>
      </c>
      <c r="E29" s="51" t="s">
        <v>40</v>
      </c>
      <c r="F29" s="51" t="s">
        <v>41</v>
      </c>
      <c r="G29" s="55" t="s">
        <v>61</v>
      </c>
      <c r="H29" s="41">
        <v>1</v>
      </c>
      <c r="I29" s="40">
        <v>130000</v>
      </c>
      <c r="J29" s="41">
        <v>1</v>
      </c>
      <c r="K29" s="40">
        <v>130000</v>
      </c>
      <c r="L29" s="41">
        <v>1</v>
      </c>
      <c r="M29" s="40">
        <v>130000</v>
      </c>
      <c r="P29" t="str">
        <f t="shared" si="1"/>
        <v>Instruction Leadership-Salaries - Instructional</v>
      </c>
      <c r="Q29" t="str">
        <f>IFERROR(VLOOKUP($P29,'Short Crosswalk'!$A$1:$G$29,4,0),"")</f>
        <v>Instruction</v>
      </c>
      <c r="R29" t="str">
        <f>IFERROR(VLOOKUP($P29,'Short Crosswalk'!$A$1:$G$29,7,0),"")</f>
        <v>01-Professional Salaries</v>
      </c>
      <c r="S29" t="str">
        <f t="shared" si="2"/>
        <v>Instruction 01-Professional Salaries</v>
      </c>
      <c r="T29">
        <f t="shared" si="3"/>
        <v>1</v>
      </c>
    </row>
    <row r="30" spans="1:20" ht="24" customHeight="1">
      <c r="A30" s="101"/>
      <c r="B30" s="93"/>
      <c r="C30" s="51" t="str">
        <f t="shared" si="7"/>
        <v>Teachers</v>
      </c>
      <c r="D30" s="51" t="str">
        <f t="shared" si="7"/>
        <v>01-Professional Salaries</v>
      </c>
      <c r="E30" s="51" t="s">
        <v>40</v>
      </c>
      <c r="F30" s="51" t="s">
        <v>43</v>
      </c>
      <c r="G30" s="55" t="s">
        <v>62</v>
      </c>
      <c r="H30" s="41">
        <v>20</v>
      </c>
      <c r="I30" s="40">
        <f>H30*100000</f>
        <v>2000000</v>
      </c>
      <c r="J30" s="41">
        <v>20</v>
      </c>
      <c r="K30" s="40">
        <f>I30*1.03</f>
        <v>2060000</v>
      </c>
      <c r="L30" s="41">
        <v>20</v>
      </c>
      <c r="M30" s="40">
        <f>K30*1.03</f>
        <v>2121800</v>
      </c>
      <c r="P30" t="str">
        <f t="shared" si="1"/>
        <v>Classroom &amp; Specialist Teachers-Salaries - Instructional</v>
      </c>
      <c r="Q30" t="str">
        <f>IFERROR(VLOOKUP($P30,'Short Crosswalk'!$A$1:$G$29,4,0),"")</f>
        <v>Teachers</v>
      </c>
      <c r="R30" t="str">
        <f>IFERROR(VLOOKUP($P30,'Short Crosswalk'!$A$1:$G$29,7,0),"")</f>
        <v>01-Professional Salaries</v>
      </c>
      <c r="S30" t="str">
        <f t="shared" si="2"/>
        <v>Teachers 01-Professional Salaries</v>
      </c>
      <c r="T30">
        <f t="shared" si="3"/>
        <v>1</v>
      </c>
    </row>
    <row r="31" spans="1:20" ht="36.950000000000003" customHeight="1">
      <c r="A31" s="101"/>
      <c r="B31" s="93"/>
      <c r="C31" s="51" t="str">
        <f t="shared" si="7"/>
        <v xml:space="preserve">Instructional Materials, Equipment and Technology </v>
      </c>
      <c r="D31" s="51" t="str">
        <f t="shared" si="7"/>
        <v>05-Supplies and Materials</v>
      </c>
      <c r="E31" s="51" t="s">
        <v>28</v>
      </c>
      <c r="F31" s="51" t="s">
        <v>29</v>
      </c>
      <c r="G31" s="55" t="s">
        <v>63</v>
      </c>
      <c r="H31" s="54"/>
      <c r="I31" s="40">
        <v>60000</v>
      </c>
      <c r="J31" s="54"/>
      <c r="K31" s="40">
        <v>60000</v>
      </c>
      <c r="L31" s="54"/>
      <c r="M31" s="40">
        <v>60000</v>
      </c>
      <c r="P31" t="str">
        <f t="shared" si="1"/>
        <v>Instructional Materials, Equip., and Tech.-Supplies and Materials</v>
      </c>
      <c r="Q31" t="str">
        <f>IFERROR(VLOOKUP($P31,'Short Crosswalk'!$A$1:$G$29,4,0),"")</f>
        <v xml:space="preserve">Instructional Materials, Equipment and Technology </v>
      </c>
      <c r="R31" t="str">
        <f>IFERROR(VLOOKUP($P31,'Short Crosswalk'!$A$1:$G$29,7,0),"")</f>
        <v>05-Supplies and Materials</v>
      </c>
      <c r="S31" t="str">
        <f t="shared" si="2"/>
        <v>Instructional Materials, Equipment and Technology  05-Supplies and Materials</v>
      </c>
      <c r="T31">
        <f t="shared" si="3"/>
        <v>5</v>
      </c>
    </row>
    <row r="32" spans="1:20" ht="33" customHeight="1">
      <c r="A32" s="101"/>
      <c r="B32" s="93"/>
      <c r="C32" s="51" t="str">
        <f t="shared" si="7"/>
        <v xml:space="preserve">Instructional Materials, Equipment and Technology </v>
      </c>
      <c r="D32" s="51" t="str">
        <f t="shared" si="7"/>
        <v>06-Other Expenses</v>
      </c>
      <c r="E32" s="51" t="s">
        <v>26</v>
      </c>
      <c r="F32" s="51" t="s">
        <v>29</v>
      </c>
      <c r="G32" s="55" t="s">
        <v>64</v>
      </c>
      <c r="H32" s="54"/>
      <c r="I32" s="81">
        <v>11000</v>
      </c>
      <c r="J32" s="82"/>
      <c r="K32" s="40">
        <v>11000</v>
      </c>
      <c r="L32" s="82"/>
      <c r="M32" s="40">
        <v>11000</v>
      </c>
      <c r="P32" t="str">
        <f t="shared" si="1"/>
        <v>Instructional Materials, Equip., and Tech.-Contractual Services</v>
      </c>
      <c r="Q32" t="str">
        <f>IFERROR(VLOOKUP($P32,'Short Crosswalk'!$A$1:$G$29,4,0),"")</f>
        <v xml:space="preserve">Instructional Materials, Equipment and Technology </v>
      </c>
      <c r="R32" t="str">
        <f>IFERROR(VLOOKUP($P32,'Short Crosswalk'!$A$1:$G$29,7,0),"")</f>
        <v>06-Other Expenses</v>
      </c>
      <c r="S32" t="str">
        <f t="shared" si="2"/>
        <v>Instructional Materials, Equipment and Technology  06-Other Expenses</v>
      </c>
      <c r="T32">
        <f t="shared" si="3"/>
        <v>6</v>
      </c>
    </row>
    <row r="33" spans="1:20" ht="33.950000000000003" customHeight="1">
      <c r="A33" s="101"/>
      <c r="B33" s="93"/>
      <c r="C33" s="51" t="str">
        <f t="shared" si="7"/>
        <v>Professional Development</v>
      </c>
      <c r="D33" s="51" t="str">
        <f t="shared" si="7"/>
        <v>04-Contracted Services</v>
      </c>
      <c r="E33" s="51" t="s">
        <v>26</v>
      </c>
      <c r="F33" s="51" t="s">
        <v>31</v>
      </c>
      <c r="G33" s="55" t="s">
        <v>65</v>
      </c>
      <c r="H33" s="54"/>
      <c r="I33" s="40"/>
      <c r="J33" s="54"/>
      <c r="K33" s="40"/>
      <c r="L33" s="54"/>
      <c r="M33" s="40"/>
      <c r="P33" t="str">
        <f t="shared" si="1"/>
        <v>Professional Development-Contractual Services</v>
      </c>
      <c r="Q33" t="str">
        <f>IFERROR(VLOOKUP($P33,'Short Crosswalk'!$A$1:$G$29,4,0),"")</f>
        <v>Professional Development</v>
      </c>
      <c r="R33" t="str">
        <f>IFERROR(VLOOKUP($P33,'Short Crosswalk'!$A$1:$G$29,7,0),"")</f>
        <v>04-Contracted Services</v>
      </c>
      <c r="S33" t="str">
        <f t="shared" si="2"/>
        <v>Professional Development 04-Contracted Services</v>
      </c>
      <c r="T33">
        <f t="shared" si="3"/>
        <v>4</v>
      </c>
    </row>
    <row r="34" spans="1:20" ht="26.45" customHeight="1">
      <c r="A34" s="101"/>
      <c r="B34" s="93"/>
      <c r="C34" s="51" t="str">
        <f t="shared" si="7"/>
        <v xml:space="preserve">Benefits and Fixed Charges </v>
      </c>
      <c r="D34" s="51" t="str">
        <f t="shared" si="7"/>
        <v>04-Contracted Services</v>
      </c>
      <c r="E34" s="51" t="s">
        <v>26</v>
      </c>
      <c r="F34" s="51" t="s">
        <v>35</v>
      </c>
      <c r="G34" s="55" t="s">
        <v>36</v>
      </c>
      <c r="H34" s="54"/>
      <c r="I34" s="80">
        <v>210000</v>
      </c>
      <c r="J34" s="54"/>
      <c r="K34" s="80">
        <v>210000</v>
      </c>
      <c r="L34" s="54"/>
      <c r="M34" s="80">
        <v>210000</v>
      </c>
      <c r="P34" t="str">
        <f t="shared" si="1"/>
        <v>Benefits and Fixed Charges -Contractual Services</v>
      </c>
      <c r="Q34" t="str">
        <f>IFERROR(VLOOKUP($P34,'Short Crosswalk'!$A$1:$G$29,4,0),"")</f>
        <v xml:space="preserve">Benefits and Fixed Charges </v>
      </c>
      <c r="R34" t="str">
        <f>IFERROR(VLOOKUP($P34,'Short Crosswalk'!$A$1:$G$29,7,0),"")</f>
        <v>04-Contracted Services</v>
      </c>
      <c r="S34" t="str">
        <f t="shared" si="2"/>
        <v>Benefits and Fixed Charges  04-Contracted Services</v>
      </c>
      <c r="T34">
        <f t="shared" si="3"/>
        <v>4</v>
      </c>
    </row>
    <row r="35" spans="1:20" ht="13.5" customHeight="1">
      <c r="A35" s="57"/>
      <c r="B35" s="58"/>
      <c r="C35" s="59"/>
      <c r="D35" s="59"/>
      <c r="E35" s="59"/>
      <c r="F35" s="59"/>
      <c r="G35" s="60" t="s">
        <v>37</v>
      </c>
      <c r="H35" s="61">
        <f>H29+H30</f>
        <v>21</v>
      </c>
      <c r="I35" s="62">
        <f>SUM(I29:I34)</f>
        <v>2411000</v>
      </c>
      <c r="J35" s="61">
        <f>J29+J30</f>
        <v>21</v>
      </c>
      <c r="K35" s="62">
        <f>SUM(K29:K34)</f>
        <v>2471000</v>
      </c>
      <c r="L35" s="61">
        <f>L29+L30</f>
        <v>21</v>
      </c>
      <c r="M35" s="62">
        <f>SUM(M29:M34)</f>
        <v>2532800</v>
      </c>
      <c r="N35" s="63">
        <f>SUM(I35+K35+M35)</f>
        <v>7414800</v>
      </c>
      <c r="P35" t="str">
        <f t="shared" si="1"/>
        <v>-</v>
      </c>
      <c r="Q35" t="str">
        <f>IFERROR(VLOOKUP($P35,'Short Crosswalk'!$A$1:$G$29,4,0),"")</f>
        <v/>
      </c>
      <c r="R35" t="str">
        <f>IFERROR(VLOOKUP($P35,'Short Crosswalk'!$A$1:$G$29,7,0),"")</f>
        <v/>
      </c>
      <c r="S35" t="str">
        <f t="shared" si="2"/>
        <v xml:space="preserve"> </v>
      </c>
      <c r="T35" t="str">
        <f t="shared" si="3"/>
        <v/>
      </c>
    </row>
    <row r="36" spans="1:20" ht="38.450000000000003" customHeight="1">
      <c r="A36" s="99" t="s">
        <v>66</v>
      </c>
      <c r="B36" s="93" t="s">
        <v>67</v>
      </c>
      <c r="C36" s="51" t="str">
        <f>Q36</f>
        <v>Professional Development</v>
      </c>
      <c r="D36" s="51" t="str">
        <f>R36</f>
        <v>04-Contracted Services</v>
      </c>
      <c r="E36" s="51" t="s">
        <v>26</v>
      </c>
      <c r="F36" s="51" t="s">
        <v>31</v>
      </c>
      <c r="G36" s="55" t="s">
        <v>68</v>
      </c>
      <c r="H36" s="54"/>
      <c r="I36" s="40">
        <v>30000</v>
      </c>
      <c r="J36" s="54"/>
      <c r="K36" s="40">
        <v>30000</v>
      </c>
      <c r="L36" s="54"/>
      <c r="M36" s="40">
        <v>30000</v>
      </c>
      <c r="P36" t="str">
        <f t="shared" si="1"/>
        <v>Professional Development-Contractual Services</v>
      </c>
      <c r="Q36" t="str">
        <f>IFERROR(VLOOKUP($P36,'Short Crosswalk'!$A$1:$G$29,4,0),"")</f>
        <v>Professional Development</v>
      </c>
      <c r="R36" t="str">
        <f>IFERROR(VLOOKUP($P36,'Short Crosswalk'!$A$1:$G$29,7,0),"")</f>
        <v>04-Contracted Services</v>
      </c>
      <c r="S36" t="str">
        <f t="shared" si="2"/>
        <v>Professional Development 04-Contracted Services</v>
      </c>
      <c r="T36">
        <f t="shared" si="3"/>
        <v>4</v>
      </c>
    </row>
    <row r="37" spans="1:20" ht="27" customHeight="1">
      <c r="A37" s="99"/>
      <c r="B37" s="93"/>
      <c r="C37" s="51" t="str">
        <f>Q37</f>
        <v>Teachers</v>
      </c>
      <c r="D37" s="51" t="str">
        <f>R37</f>
        <v>01-Professional Salaries</v>
      </c>
      <c r="E37" s="51" t="s">
        <v>52</v>
      </c>
      <c r="F37" s="51" t="s">
        <v>43</v>
      </c>
      <c r="G37" s="55" t="s">
        <v>69</v>
      </c>
      <c r="H37" s="54"/>
      <c r="I37" s="40"/>
      <c r="J37" s="54"/>
      <c r="K37" s="40"/>
      <c r="L37" s="54"/>
      <c r="M37" s="40"/>
      <c r="P37" t="str">
        <f t="shared" ref="P37:P68" si="8">_xlfn.CONCAT(F37,"-",E37)</f>
        <v>Classroom &amp; Specialist Teachers-Stipends</v>
      </c>
      <c r="Q37" t="str">
        <f>IFERROR(VLOOKUP($P37,'Short Crosswalk'!$A$1:$G$29,4,0),"")</f>
        <v>Teachers</v>
      </c>
      <c r="R37" t="str">
        <f>IFERROR(VLOOKUP($P37,'Short Crosswalk'!$A$1:$G$29,7,0),"")</f>
        <v>01-Professional Salaries</v>
      </c>
      <c r="S37" t="str">
        <f t="shared" ref="S37:S68" si="9">_xlfn.CONCAT(Q37," ", R37)</f>
        <v>Teachers 01-Professional Salaries</v>
      </c>
      <c r="T37">
        <f t="shared" ref="T37:T68" si="10">IFERROR(VALUE(LEFT(D37,2)),"")</f>
        <v>1</v>
      </c>
    </row>
    <row r="38" spans="1:20" ht="13.5" customHeight="1">
      <c r="A38" s="99"/>
      <c r="B38" s="58"/>
      <c r="C38" s="59"/>
      <c r="D38" s="59"/>
      <c r="E38" s="59"/>
      <c r="F38" s="59"/>
      <c r="G38" s="60" t="s">
        <v>37</v>
      </c>
      <c r="H38" s="64"/>
      <c r="I38" s="62">
        <f>SUM(I36:I37)</f>
        <v>30000</v>
      </c>
      <c r="J38" s="61"/>
      <c r="K38" s="62">
        <f>SUM(K36:K37)</f>
        <v>30000</v>
      </c>
      <c r="L38" s="61"/>
      <c r="M38" s="62">
        <f>SUM(M36:M37)</f>
        <v>30000</v>
      </c>
      <c r="N38" s="63">
        <f>SUM(I38+K38+M38)</f>
        <v>90000</v>
      </c>
      <c r="P38" t="str">
        <f t="shared" si="8"/>
        <v>-</v>
      </c>
      <c r="Q38" t="str">
        <f>IFERROR(VLOOKUP($P38,'Short Crosswalk'!$A$1:$G$29,4,0),"")</f>
        <v/>
      </c>
      <c r="R38" t="str">
        <f>IFERROR(VLOOKUP($P38,'Short Crosswalk'!$A$1:$G$29,7,0),"")</f>
        <v/>
      </c>
      <c r="S38" t="str">
        <f t="shared" si="9"/>
        <v xml:space="preserve"> </v>
      </c>
      <c r="T38" t="str">
        <f t="shared" si="10"/>
        <v/>
      </c>
    </row>
    <row r="39" spans="1:20" ht="37.5" customHeight="1">
      <c r="A39" s="99"/>
      <c r="B39" s="100" t="s">
        <v>70</v>
      </c>
      <c r="C39" s="51" t="str">
        <f>Q39</f>
        <v>Professional Development</v>
      </c>
      <c r="D39" s="51" t="str">
        <f>R39</f>
        <v>04-Contracted Services</v>
      </c>
      <c r="E39" s="51" t="s">
        <v>26</v>
      </c>
      <c r="F39" s="51" t="s">
        <v>31</v>
      </c>
      <c r="G39" s="55" t="s">
        <v>71</v>
      </c>
      <c r="H39" s="54"/>
      <c r="I39" s="40">
        <v>30000</v>
      </c>
      <c r="J39" s="54"/>
      <c r="K39" s="40">
        <v>30000</v>
      </c>
      <c r="L39" s="54"/>
      <c r="M39" s="40">
        <v>30000</v>
      </c>
      <c r="P39" t="str">
        <f t="shared" si="8"/>
        <v>Professional Development-Contractual Services</v>
      </c>
      <c r="Q39" t="str">
        <f>IFERROR(VLOOKUP($P39,'Short Crosswalk'!$A$1:$G$29,4,0),"")</f>
        <v>Professional Development</v>
      </c>
      <c r="R39" t="str">
        <f>IFERROR(VLOOKUP($P39,'Short Crosswalk'!$A$1:$G$29,7,0),"")</f>
        <v>04-Contracted Services</v>
      </c>
      <c r="S39" t="str">
        <f t="shared" si="9"/>
        <v>Professional Development 04-Contracted Services</v>
      </c>
      <c r="T39">
        <f t="shared" si="10"/>
        <v>4</v>
      </c>
    </row>
    <row r="40" spans="1:20" ht="25.5" customHeight="1">
      <c r="A40" s="99"/>
      <c r="B40" s="100"/>
      <c r="C40" s="51" t="str">
        <f>Q40</f>
        <v>Teachers</v>
      </c>
      <c r="D40" s="51" t="str">
        <f>R40</f>
        <v>01-Professional Salaries</v>
      </c>
      <c r="E40" s="51" t="s">
        <v>52</v>
      </c>
      <c r="F40" s="51" t="s">
        <v>43</v>
      </c>
      <c r="G40" s="55" t="s">
        <v>72</v>
      </c>
      <c r="H40" s="54"/>
      <c r="I40" s="40"/>
      <c r="J40" s="54"/>
      <c r="K40" s="40"/>
      <c r="L40" s="54"/>
      <c r="M40" s="40"/>
      <c r="P40" t="str">
        <f t="shared" si="8"/>
        <v>Classroom &amp; Specialist Teachers-Stipends</v>
      </c>
      <c r="Q40" t="str">
        <f>IFERROR(VLOOKUP($P40,'Short Crosswalk'!$A$1:$G$29,4,0),"")</f>
        <v>Teachers</v>
      </c>
      <c r="R40" t="str">
        <f>IFERROR(VLOOKUP($P40,'Short Crosswalk'!$A$1:$G$29,7,0),"")</f>
        <v>01-Professional Salaries</v>
      </c>
      <c r="S40" t="str">
        <f t="shared" si="9"/>
        <v>Teachers 01-Professional Salaries</v>
      </c>
      <c r="T40">
        <f t="shared" si="10"/>
        <v>1</v>
      </c>
    </row>
    <row r="41" spans="1:20" ht="13.5" customHeight="1">
      <c r="A41" s="99"/>
      <c r="B41" s="58"/>
      <c r="C41" s="59"/>
      <c r="D41" s="59"/>
      <c r="E41" s="59"/>
      <c r="F41" s="59"/>
      <c r="G41" s="60" t="s">
        <v>37</v>
      </c>
      <c r="H41" s="64"/>
      <c r="I41" s="62">
        <f>SUM(I39:I40)</f>
        <v>30000</v>
      </c>
      <c r="J41" s="61"/>
      <c r="K41" s="62">
        <f>SUM(K39:K40)</f>
        <v>30000</v>
      </c>
      <c r="L41" s="61"/>
      <c r="M41" s="62">
        <f>SUM(M39:M40)</f>
        <v>30000</v>
      </c>
      <c r="N41" s="63">
        <f>SUM(I41+K41+M41)</f>
        <v>90000</v>
      </c>
      <c r="P41" t="str">
        <f t="shared" si="8"/>
        <v>-</v>
      </c>
      <c r="Q41" t="str">
        <f>IFERROR(VLOOKUP($P41,'Short Crosswalk'!$A$1:$G$29,4,0),"")</f>
        <v/>
      </c>
      <c r="R41" t="str">
        <f>IFERROR(VLOOKUP($P41,'Short Crosswalk'!$A$1:$G$29,7,0),"")</f>
        <v/>
      </c>
      <c r="S41" t="str">
        <f t="shared" si="9"/>
        <v xml:space="preserve"> </v>
      </c>
      <c r="T41" t="str">
        <f t="shared" si="10"/>
        <v/>
      </c>
    </row>
    <row r="42" spans="1:20" ht="78" customHeight="1">
      <c r="A42" s="99"/>
      <c r="B42" s="93" t="s">
        <v>73</v>
      </c>
      <c r="C42" s="51" t="str">
        <f t="shared" ref="C42:D45" si="11">Q42</f>
        <v>Teachers</v>
      </c>
      <c r="D42" s="51" t="str">
        <f t="shared" si="11"/>
        <v>01-Professional Salaries</v>
      </c>
      <c r="E42" s="51" t="s">
        <v>40</v>
      </c>
      <c r="F42" s="51" t="s">
        <v>43</v>
      </c>
      <c r="G42" s="55" t="s">
        <v>74</v>
      </c>
      <c r="H42" s="41">
        <v>155</v>
      </c>
      <c r="I42" s="40">
        <f>H42*100000</f>
        <v>15500000</v>
      </c>
      <c r="J42" s="41">
        <v>160</v>
      </c>
      <c r="K42" s="40">
        <f>J42*103000</f>
        <v>16480000</v>
      </c>
      <c r="L42" s="41">
        <v>160</v>
      </c>
      <c r="M42" s="40">
        <f>K42*1.03</f>
        <v>16974400</v>
      </c>
      <c r="P42" t="str">
        <f t="shared" si="8"/>
        <v>Classroom &amp; Specialist Teachers-Salaries - Instructional</v>
      </c>
      <c r="Q42" t="str">
        <f>IFERROR(VLOOKUP($P42,'Short Crosswalk'!$A$1:$G$29,4,0),"")</f>
        <v>Teachers</v>
      </c>
      <c r="R42" t="str">
        <f>IFERROR(VLOOKUP($P42,'Short Crosswalk'!$A$1:$G$29,7,0),"")</f>
        <v>01-Professional Salaries</v>
      </c>
      <c r="S42" t="str">
        <f t="shared" si="9"/>
        <v>Teachers 01-Professional Salaries</v>
      </c>
      <c r="T42">
        <f t="shared" si="10"/>
        <v>1</v>
      </c>
    </row>
    <row r="43" spans="1:20" ht="34.5" customHeight="1">
      <c r="A43" s="99"/>
      <c r="B43" s="93"/>
      <c r="C43" s="51" t="str">
        <f t="shared" si="11"/>
        <v>Professional Development</v>
      </c>
      <c r="D43" s="51" t="str">
        <f t="shared" si="11"/>
        <v>04-Contracted Services</v>
      </c>
      <c r="E43" s="51" t="s">
        <v>26</v>
      </c>
      <c r="F43" s="51" t="s">
        <v>31</v>
      </c>
      <c r="G43" s="55" t="s">
        <v>75</v>
      </c>
      <c r="H43" s="54"/>
      <c r="I43" s="40"/>
      <c r="J43" s="54"/>
      <c r="K43" s="40"/>
      <c r="L43" s="54"/>
      <c r="M43" s="40"/>
      <c r="P43" t="str">
        <f t="shared" si="8"/>
        <v>Professional Development-Contractual Services</v>
      </c>
      <c r="Q43" t="str">
        <f>IFERROR(VLOOKUP($P43,'Short Crosswalk'!$A$1:$G$29,4,0),"")</f>
        <v>Professional Development</v>
      </c>
      <c r="R43" t="str">
        <f>IFERROR(VLOOKUP($P43,'Short Crosswalk'!$A$1:$G$29,7,0),"")</f>
        <v>04-Contracted Services</v>
      </c>
      <c r="S43" t="str">
        <f t="shared" si="9"/>
        <v>Professional Development 04-Contracted Services</v>
      </c>
      <c r="T43">
        <f t="shared" si="10"/>
        <v>4</v>
      </c>
    </row>
    <row r="44" spans="1:20" ht="31.5">
      <c r="A44" s="99"/>
      <c r="B44" s="93"/>
      <c r="C44" s="51" t="str">
        <f t="shared" si="11"/>
        <v xml:space="preserve">Instructional Materials, Equipment and Technology </v>
      </c>
      <c r="D44" s="51" t="str">
        <f t="shared" si="11"/>
        <v>05-Supplies and Materials</v>
      </c>
      <c r="E44" s="51" t="s">
        <v>28</v>
      </c>
      <c r="F44" s="51" t="s">
        <v>29</v>
      </c>
      <c r="G44" s="55" t="s">
        <v>76</v>
      </c>
      <c r="H44" s="54"/>
      <c r="I44" s="40"/>
      <c r="J44" s="54"/>
      <c r="K44" s="40"/>
      <c r="L44" s="54"/>
      <c r="M44" s="40"/>
      <c r="P44" t="str">
        <f t="shared" si="8"/>
        <v>Instructional Materials, Equip., and Tech.-Supplies and Materials</v>
      </c>
      <c r="Q44" t="str">
        <f>IFERROR(VLOOKUP($P44,'Short Crosswalk'!$A$1:$G$29,4,0),"")</f>
        <v xml:space="preserve">Instructional Materials, Equipment and Technology </v>
      </c>
      <c r="R44" t="str">
        <f>IFERROR(VLOOKUP($P44,'Short Crosswalk'!$A$1:$G$29,7,0),"")</f>
        <v>05-Supplies and Materials</v>
      </c>
      <c r="S44" t="str">
        <f t="shared" si="9"/>
        <v>Instructional Materials, Equipment and Technology  05-Supplies and Materials</v>
      </c>
      <c r="T44">
        <f t="shared" si="10"/>
        <v>5</v>
      </c>
    </row>
    <row r="45" spans="1:20" ht="25.5" customHeight="1">
      <c r="A45" s="99"/>
      <c r="B45" s="93"/>
      <c r="C45" s="51" t="str">
        <f t="shared" si="11"/>
        <v xml:space="preserve">Benefits and Fixed Charges </v>
      </c>
      <c r="D45" s="51" t="str">
        <f t="shared" si="11"/>
        <v>04-Contracted Services</v>
      </c>
      <c r="E45" s="51" t="s">
        <v>26</v>
      </c>
      <c r="F45" s="51" t="s">
        <v>35</v>
      </c>
      <c r="G45" s="55" t="s">
        <v>36</v>
      </c>
      <c r="H45" s="54"/>
      <c r="I45" s="80">
        <v>1550000</v>
      </c>
      <c r="J45" s="54"/>
      <c r="K45" s="80">
        <v>1600000</v>
      </c>
      <c r="L45" s="54"/>
      <c r="M45" s="80">
        <v>1600000</v>
      </c>
      <c r="P45" t="str">
        <f t="shared" si="8"/>
        <v>Benefits and Fixed Charges -Contractual Services</v>
      </c>
      <c r="Q45" t="str">
        <f>IFERROR(VLOOKUP($P45,'Short Crosswalk'!$A$1:$G$29,4,0),"")</f>
        <v xml:space="preserve">Benefits and Fixed Charges </v>
      </c>
      <c r="R45" t="str">
        <f>IFERROR(VLOOKUP($P45,'Short Crosswalk'!$A$1:$G$29,7,0),"")</f>
        <v>04-Contracted Services</v>
      </c>
      <c r="S45" t="str">
        <f t="shared" si="9"/>
        <v>Benefits and Fixed Charges  04-Contracted Services</v>
      </c>
      <c r="T45">
        <f t="shared" si="10"/>
        <v>4</v>
      </c>
    </row>
    <row r="46" spans="1:20" ht="13.5" customHeight="1">
      <c r="A46" s="99"/>
      <c r="B46" s="58"/>
      <c r="C46" s="59"/>
      <c r="D46" s="59"/>
      <c r="E46" s="59"/>
      <c r="F46" s="59"/>
      <c r="G46" s="60" t="s">
        <v>37</v>
      </c>
      <c r="H46" s="61">
        <f>H42</f>
        <v>155</v>
      </c>
      <c r="I46" s="62">
        <f>SUM(I42:I45)</f>
        <v>17050000</v>
      </c>
      <c r="J46" s="61">
        <f>J42</f>
        <v>160</v>
      </c>
      <c r="K46" s="62">
        <f>SUM(K42:K45)</f>
        <v>18080000</v>
      </c>
      <c r="L46" s="61">
        <f>L42</f>
        <v>160</v>
      </c>
      <c r="M46" s="62">
        <f>SUM(M42:M45)</f>
        <v>18574400</v>
      </c>
      <c r="N46" s="63">
        <f>SUM(I46+K46+M46)</f>
        <v>53704400</v>
      </c>
      <c r="P46" t="str">
        <f t="shared" si="8"/>
        <v>-</v>
      </c>
      <c r="Q46" t="str">
        <f>IFERROR(VLOOKUP($P46,'Short Crosswalk'!$A$1:$G$29,4,0),"")</f>
        <v/>
      </c>
      <c r="R46" t="str">
        <f>IFERROR(VLOOKUP($P46,'Short Crosswalk'!$A$1:$G$29,7,0),"")</f>
        <v/>
      </c>
      <c r="S46" t="str">
        <f t="shared" si="9"/>
        <v xml:space="preserve"> </v>
      </c>
      <c r="T46" t="str">
        <f t="shared" si="10"/>
        <v/>
      </c>
    </row>
    <row r="47" spans="1:20" ht="25.5" customHeight="1">
      <c r="A47" s="99"/>
      <c r="B47" s="93" t="s">
        <v>77</v>
      </c>
      <c r="C47" s="51" t="str">
        <f t="shared" ref="C47:D51" si="12">Q47</f>
        <v>Other Teaching Services</v>
      </c>
      <c r="D47" s="51" t="str">
        <f t="shared" si="12"/>
        <v>03-Other Salaries</v>
      </c>
      <c r="E47" s="51" t="s">
        <v>23</v>
      </c>
      <c r="F47" s="51" t="s">
        <v>78</v>
      </c>
      <c r="G47" s="55" t="s">
        <v>79</v>
      </c>
      <c r="H47" s="41">
        <v>4</v>
      </c>
      <c r="I47" s="40">
        <v>400000</v>
      </c>
      <c r="J47" s="41">
        <v>5</v>
      </c>
      <c r="K47" s="40">
        <f>500000*1.03</f>
        <v>515000</v>
      </c>
      <c r="L47" s="41">
        <v>5</v>
      </c>
      <c r="M47" s="53">
        <f>K47*1.03</f>
        <v>530450</v>
      </c>
      <c r="P47" t="str">
        <f t="shared" si="8"/>
        <v>Other Teaching Services-Salaries - Other</v>
      </c>
      <c r="Q47" t="str">
        <f>IFERROR(VLOOKUP($P47,'Short Crosswalk'!$A$1:$G$29,4,0),"")</f>
        <v>Other Teaching Services</v>
      </c>
      <c r="R47" t="str">
        <f>IFERROR(VLOOKUP($P47,'Short Crosswalk'!$A$1:$G$29,7,0),"")</f>
        <v>03-Other Salaries</v>
      </c>
      <c r="S47" t="str">
        <f t="shared" si="9"/>
        <v>Other Teaching Services 03-Other Salaries</v>
      </c>
      <c r="T47">
        <f t="shared" si="10"/>
        <v>3</v>
      </c>
    </row>
    <row r="48" spans="1:20" ht="21.95" customHeight="1">
      <c r="A48" s="99"/>
      <c r="B48" s="93"/>
      <c r="C48" s="51" t="str">
        <f t="shared" si="12"/>
        <v>Professional Development</v>
      </c>
      <c r="D48" s="51" t="str">
        <f t="shared" si="12"/>
        <v>04-Contracted Services</v>
      </c>
      <c r="E48" s="51" t="s">
        <v>26</v>
      </c>
      <c r="F48" s="51" t="s">
        <v>31</v>
      </c>
      <c r="G48" s="55" t="s">
        <v>80</v>
      </c>
      <c r="H48" s="54"/>
      <c r="I48" s="40"/>
      <c r="J48" s="54"/>
      <c r="K48" s="40"/>
      <c r="L48" s="54"/>
      <c r="M48" s="53"/>
      <c r="P48" t="str">
        <f t="shared" si="8"/>
        <v>Professional Development-Contractual Services</v>
      </c>
      <c r="Q48" t="str">
        <f>IFERROR(VLOOKUP($P48,'Short Crosswalk'!$A$1:$G$29,4,0),"")</f>
        <v>Professional Development</v>
      </c>
      <c r="R48" t="str">
        <f>IFERROR(VLOOKUP($P48,'Short Crosswalk'!$A$1:$G$29,7,0),"")</f>
        <v>04-Contracted Services</v>
      </c>
      <c r="S48" t="str">
        <f t="shared" si="9"/>
        <v>Professional Development 04-Contracted Services</v>
      </c>
      <c r="T48">
        <f t="shared" si="10"/>
        <v>4</v>
      </c>
    </row>
    <row r="49" spans="1:20" ht="36" customHeight="1">
      <c r="A49" s="99"/>
      <c r="B49" s="93"/>
      <c r="C49" s="51" t="str">
        <f t="shared" si="12"/>
        <v xml:space="preserve">Instructional Materials, Equipment and Technology </v>
      </c>
      <c r="D49" s="51" t="str">
        <f t="shared" si="12"/>
        <v>05-Supplies and Materials</v>
      </c>
      <c r="E49" s="51" t="s">
        <v>28</v>
      </c>
      <c r="F49" s="51" t="s">
        <v>29</v>
      </c>
      <c r="G49" s="55" t="s">
        <v>81</v>
      </c>
      <c r="H49" s="54"/>
      <c r="I49" s="40"/>
      <c r="J49" s="54"/>
      <c r="K49" s="40"/>
      <c r="L49" s="54"/>
      <c r="M49" s="53"/>
      <c r="P49" t="str">
        <f t="shared" si="8"/>
        <v>Instructional Materials, Equip., and Tech.-Supplies and Materials</v>
      </c>
      <c r="Q49" t="str">
        <f>IFERROR(VLOOKUP($P49,'Short Crosswalk'!$A$1:$G$29,4,0),"")</f>
        <v xml:space="preserve">Instructional Materials, Equipment and Technology </v>
      </c>
      <c r="R49" t="str">
        <f>IFERROR(VLOOKUP($P49,'Short Crosswalk'!$A$1:$G$29,7,0),"")</f>
        <v>05-Supplies and Materials</v>
      </c>
      <c r="S49" t="str">
        <f t="shared" si="9"/>
        <v>Instructional Materials, Equipment and Technology  05-Supplies and Materials</v>
      </c>
      <c r="T49">
        <f t="shared" si="10"/>
        <v>5</v>
      </c>
    </row>
    <row r="50" spans="1:20" ht="29.45" customHeight="1">
      <c r="A50" s="99"/>
      <c r="B50" s="93"/>
      <c r="C50" s="51" t="str">
        <f t="shared" si="12"/>
        <v>Teachers</v>
      </c>
      <c r="D50" s="51" t="str">
        <f t="shared" si="12"/>
        <v>01-Professional Salaries</v>
      </c>
      <c r="E50" s="51" t="s">
        <v>52</v>
      </c>
      <c r="F50" s="51" t="s">
        <v>43</v>
      </c>
      <c r="G50" s="55" t="s">
        <v>82</v>
      </c>
      <c r="H50" s="54"/>
      <c r="I50" s="40">
        <v>1200000</v>
      </c>
      <c r="J50" s="54"/>
      <c r="K50" s="40">
        <v>1200000</v>
      </c>
      <c r="L50" s="54"/>
      <c r="M50" s="53">
        <v>1200000</v>
      </c>
      <c r="P50" t="str">
        <f t="shared" si="8"/>
        <v>Classroom &amp; Specialist Teachers-Stipends</v>
      </c>
      <c r="Q50" t="str">
        <f>IFERROR(VLOOKUP($P50,'Short Crosswalk'!$A$1:$G$29,4,0),"")</f>
        <v>Teachers</v>
      </c>
      <c r="R50" t="str">
        <f>IFERROR(VLOOKUP($P50,'Short Crosswalk'!$A$1:$G$29,7,0),"")</f>
        <v>01-Professional Salaries</v>
      </c>
      <c r="S50" t="str">
        <f t="shared" si="9"/>
        <v>Teachers 01-Professional Salaries</v>
      </c>
      <c r="T50">
        <f t="shared" si="10"/>
        <v>1</v>
      </c>
    </row>
    <row r="51" spans="1:20" ht="23.45" customHeight="1">
      <c r="A51" s="99"/>
      <c r="B51" s="93"/>
      <c r="C51" s="51" t="str">
        <f t="shared" si="12"/>
        <v xml:space="preserve">Benefits and Fixed Charges </v>
      </c>
      <c r="D51" s="51" t="str">
        <f t="shared" si="12"/>
        <v>04-Contracted Services</v>
      </c>
      <c r="E51" s="51" t="s">
        <v>26</v>
      </c>
      <c r="F51" s="51" t="s">
        <v>35</v>
      </c>
      <c r="G51" s="55" t="s">
        <v>36</v>
      </c>
      <c r="H51" s="54"/>
      <c r="I51" s="80">
        <v>40000</v>
      </c>
      <c r="J51" s="54"/>
      <c r="K51" s="80">
        <v>40000</v>
      </c>
      <c r="L51" s="54"/>
      <c r="M51" s="56">
        <v>40000</v>
      </c>
      <c r="P51" t="str">
        <f t="shared" si="8"/>
        <v>Benefits and Fixed Charges -Contractual Services</v>
      </c>
      <c r="Q51" t="str">
        <f>IFERROR(VLOOKUP($P51,'Short Crosswalk'!$A$1:$G$29,4,0),"")</f>
        <v xml:space="preserve">Benefits and Fixed Charges </v>
      </c>
      <c r="R51" t="str">
        <f>IFERROR(VLOOKUP($P51,'Short Crosswalk'!$A$1:$G$29,7,0),"")</f>
        <v>04-Contracted Services</v>
      </c>
      <c r="S51" t="str">
        <f t="shared" si="9"/>
        <v>Benefits and Fixed Charges  04-Contracted Services</v>
      </c>
      <c r="T51">
        <f t="shared" si="10"/>
        <v>4</v>
      </c>
    </row>
    <row r="52" spans="1:20" ht="13.5" customHeight="1">
      <c r="A52" s="57"/>
      <c r="B52" s="58"/>
      <c r="C52" s="59"/>
      <c r="D52" s="59"/>
      <c r="E52" s="59"/>
      <c r="F52" s="59"/>
      <c r="G52" s="60" t="s">
        <v>37</v>
      </c>
      <c r="H52" s="61">
        <f>H47</f>
        <v>4</v>
      </c>
      <c r="I52" s="62">
        <f>SUM(I47:I51)</f>
        <v>1640000</v>
      </c>
      <c r="J52" s="61">
        <f>J47</f>
        <v>5</v>
      </c>
      <c r="K52" s="62">
        <f>SUM(K47:K51)</f>
        <v>1755000</v>
      </c>
      <c r="L52" s="61">
        <f>L47</f>
        <v>5</v>
      </c>
      <c r="M52" s="62">
        <f>SUM(M47:M51)</f>
        <v>1770450</v>
      </c>
      <c r="N52" s="63">
        <f>SUM(I52+K52+M52)</f>
        <v>5165450</v>
      </c>
      <c r="P52" t="str">
        <f t="shared" si="8"/>
        <v>-</v>
      </c>
      <c r="Q52" t="str">
        <f>IFERROR(VLOOKUP($P52,'Short Crosswalk'!$A$1:$G$29,4,0),"")</f>
        <v/>
      </c>
      <c r="R52" t="str">
        <f>IFERROR(VLOOKUP($P52,'Short Crosswalk'!$A$1:$G$29,7,0),"")</f>
        <v/>
      </c>
      <c r="S52" t="str">
        <f t="shared" si="9"/>
        <v xml:space="preserve"> </v>
      </c>
      <c r="T52" t="str">
        <f t="shared" si="10"/>
        <v/>
      </c>
    </row>
    <row r="53" spans="1:20" ht="36.950000000000003" customHeight="1">
      <c r="A53" s="96" t="s">
        <v>83</v>
      </c>
      <c r="B53" s="93" t="s">
        <v>84</v>
      </c>
      <c r="C53" s="51" t="str">
        <f t="shared" ref="C53:D57" si="13">Q53</f>
        <v xml:space="preserve">Guidance, Counseling and Testing </v>
      </c>
      <c r="D53" s="51" t="str">
        <f t="shared" si="13"/>
        <v>01-Professional Salaries</v>
      </c>
      <c r="E53" s="51" t="s">
        <v>23</v>
      </c>
      <c r="F53" s="51" t="s">
        <v>24</v>
      </c>
      <c r="G53" s="55" t="s">
        <v>85</v>
      </c>
      <c r="H53" s="41">
        <v>1</v>
      </c>
      <c r="I53" s="40">
        <f>H53*100000+80000</f>
        <v>180000</v>
      </c>
      <c r="J53" s="41">
        <v>1</v>
      </c>
      <c r="K53" s="40">
        <f>I53*1.03</f>
        <v>185400</v>
      </c>
      <c r="L53" s="41">
        <v>1</v>
      </c>
      <c r="M53" s="40">
        <f>K53*1.03</f>
        <v>190962</v>
      </c>
      <c r="P53" t="str">
        <f t="shared" si="8"/>
        <v>Guidance and Psychological-Salaries - Other</v>
      </c>
      <c r="Q53" t="str">
        <f>IFERROR(VLOOKUP($P53,'Short Crosswalk'!$A$1:$G$29,4,0),"")</f>
        <v xml:space="preserve">Guidance, Counseling and Testing </v>
      </c>
      <c r="R53" t="str">
        <f>IFERROR(VLOOKUP($P53,'Short Crosswalk'!$A$1:$G$29,7,0),"")</f>
        <v>01-Professional Salaries</v>
      </c>
      <c r="S53" t="str">
        <f t="shared" si="9"/>
        <v>Guidance, Counseling and Testing  01-Professional Salaries</v>
      </c>
      <c r="T53">
        <f t="shared" si="10"/>
        <v>1</v>
      </c>
    </row>
    <row r="54" spans="1:20" ht="24" customHeight="1">
      <c r="A54" s="96"/>
      <c r="B54" s="93"/>
      <c r="C54" s="51" t="str">
        <f t="shared" si="13"/>
        <v>Teachers</v>
      </c>
      <c r="D54" s="51" t="str">
        <f t="shared" si="13"/>
        <v>01-Professional Salaries</v>
      </c>
      <c r="E54" s="51" t="s">
        <v>40</v>
      </c>
      <c r="F54" s="51" t="s">
        <v>43</v>
      </c>
      <c r="G54" s="55" t="s">
        <v>86</v>
      </c>
      <c r="H54" s="114">
        <v>15</v>
      </c>
      <c r="I54" s="40">
        <f>H54*100000</f>
        <v>1500000</v>
      </c>
      <c r="J54" s="114">
        <v>17</v>
      </c>
      <c r="K54" s="40">
        <f>I54*1.03+200000</f>
        <v>1745000</v>
      </c>
      <c r="L54" s="114">
        <v>17</v>
      </c>
      <c r="M54" s="40">
        <f>K54*1.03</f>
        <v>1797350</v>
      </c>
      <c r="P54" t="str">
        <f t="shared" si="8"/>
        <v>Classroom &amp; Specialist Teachers-Salaries - Instructional</v>
      </c>
      <c r="Q54" t="str">
        <f>IFERROR(VLOOKUP($P54,'Short Crosswalk'!$A$1:$G$29,4,0),"")</f>
        <v>Teachers</v>
      </c>
      <c r="R54" t="str">
        <f>IFERROR(VLOOKUP($P54,'Short Crosswalk'!$A$1:$G$29,7,0),"")</f>
        <v>01-Professional Salaries</v>
      </c>
      <c r="S54" t="str">
        <f t="shared" si="9"/>
        <v>Teachers 01-Professional Salaries</v>
      </c>
      <c r="T54">
        <f t="shared" si="10"/>
        <v>1</v>
      </c>
    </row>
    <row r="55" spans="1:20" ht="25.5" customHeight="1">
      <c r="A55" s="96"/>
      <c r="B55" s="93"/>
      <c r="C55" s="51" t="str">
        <f t="shared" si="13"/>
        <v>Instruction</v>
      </c>
      <c r="D55" s="51" t="str">
        <f t="shared" si="13"/>
        <v>01-Professional Salaries</v>
      </c>
      <c r="E55" s="51" t="s">
        <v>52</v>
      </c>
      <c r="F55" s="51" t="s">
        <v>41</v>
      </c>
      <c r="G55" s="55" t="s">
        <v>87</v>
      </c>
      <c r="H55" s="54"/>
      <c r="I55" s="40">
        <v>50000</v>
      </c>
      <c r="J55" s="54"/>
      <c r="K55" s="40">
        <v>150000</v>
      </c>
      <c r="L55" s="54"/>
      <c r="M55" s="40">
        <v>250000</v>
      </c>
      <c r="P55" t="str">
        <f t="shared" si="8"/>
        <v>Instruction Leadership-Stipends</v>
      </c>
      <c r="Q55" t="str">
        <f>IFERROR(VLOOKUP($P55,'Short Crosswalk'!$A$1:$G$29,4,0),"")</f>
        <v>Instruction</v>
      </c>
      <c r="R55" t="str">
        <f>IFERROR(VLOOKUP($P55,'Short Crosswalk'!$A$1:$G$29,7,0),"")</f>
        <v>01-Professional Salaries</v>
      </c>
      <c r="S55" t="str">
        <f t="shared" si="9"/>
        <v>Instruction 01-Professional Salaries</v>
      </c>
      <c r="T55">
        <f t="shared" si="10"/>
        <v>1</v>
      </c>
    </row>
    <row r="56" spans="1:20" ht="21">
      <c r="A56" s="96"/>
      <c r="B56" s="93"/>
      <c r="C56" s="51" t="str">
        <f t="shared" si="13"/>
        <v xml:space="preserve">Operations and Maintenance </v>
      </c>
      <c r="D56" s="51" t="str">
        <f t="shared" si="13"/>
        <v>06-Other Expenses</v>
      </c>
      <c r="E56" s="51" t="s">
        <v>88</v>
      </c>
      <c r="F56" s="51" t="s">
        <v>33</v>
      </c>
      <c r="G56" s="55" t="s">
        <v>89</v>
      </c>
      <c r="H56" s="54"/>
      <c r="I56" s="40">
        <v>30000</v>
      </c>
      <c r="J56" s="54"/>
      <c r="K56" s="40">
        <v>50000</v>
      </c>
      <c r="L56" s="54"/>
      <c r="M56" s="40">
        <v>50000</v>
      </c>
      <c r="P56" t="str">
        <f t="shared" si="8"/>
        <v>Operations and Maintenance-Other</v>
      </c>
      <c r="Q56" t="str">
        <f>IFERROR(VLOOKUP($P56,'Short Crosswalk'!$A$1:$G$29,4,0),"")</f>
        <v xml:space="preserve">Operations and Maintenance </v>
      </c>
      <c r="R56" t="str">
        <f>IFERROR(VLOOKUP($P56,'Short Crosswalk'!$A$1:$G$29,7,0),"")</f>
        <v>06-Other Expenses</v>
      </c>
      <c r="S56" t="str">
        <f t="shared" si="9"/>
        <v>Operations and Maintenance  06-Other Expenses</v>
      </c>
      <c r="T56">
        <f t="shared" si="10"/>
        <v>6</v>
      </c>
    </row>
    <row r="57" spans="1:20" ht="24" customHeight="1">
      <c r="A57" s="96"/>
      <c r="B57" s="93"/>
      <c r="C57" s="51" t="str">
        <f t="shared" si="13"/>
        <v xml:space="preserve">Benefits and Fixed Charges </v>
      </c>
      <c r="D57" s="51" t="str">
        <f t="shared" si="13"/>
        <v>04-Contracted Services</v>
      </c>
      <c r="E57" s="51" t="s">
        <v>26</v>
      </c>
      <c r="F57" s="51" t="s">
        <v>35</v>
      </c>
      <c r="G57" s="55" t="s">
        <v>36</v>
      </c>
      <c r="H57" s="54"/>
      <c r="I57" s="80">
        <v>160000</v>
      </c>
      <c r="J57" s="54"/>
      <c r="K57" s="80">
        <v>180000</v>
      </c>
      <c r="L57" s="54"/>
      <c r="M57" s="80">
        <v>180000</v>
      </c>
      <c r="P57" t="str">
        <f t="shared" si="8"/>
        <v>Benefits and Fixed Charges -Contractual Services</v>
      </c>
      <c r="Q57" t="str">
        <f>IFERROR(VLOOKUP($P57,'Short Crosswalk'!$A$1:$G$29,4,0),"")</f>
        <v xml:space="preserve">Benefits and Fixed Charges </v>
      </c>
      <c r="R57" t="str">
        <f>IFERROR(VLOOKUP($P57,'Short Crosswalk'!$A$1:$G$29,7,0),"")</f>
        <v>04-Contracted Services</v>
      </c>
      <c r="S57" t="str">
        <f t="shared" si="9"/>
        <v>Benefits and Fixed Charges  04-Contracted Services</v>
      </c>
      <c r="T57">
        <f t="shared" si="10"/>
        <v>4</v>
      </c>
    </row>
    <row r="58" spans="1:20" ht="13.5" customHeight="1">
      <c r="A58" s="57"/>
      <c r="B58" s="58"/>
      <c r="C58" s="59"/>
      <c r="D58" s="59"/>
      <c r="E58" s="59"/>
      <c r="F58" s="59"/>
      <c r="G58" s="60" t="s">
        <v>37</v>
      </c>
      <c r="H58" s="61">
        <f>H53</f>
        <v>1</v>
      </c>
      <c r="I58" s="62">
        <f>SUM(I53:I57)</f>
        <v>1920000</v>
      </c>
      <c r="J58" s="61">
        <f>J53</f>
        <v>1</v>
      </c>
      <c r="K58" s="62">
        <f>SUM(K53:K57)</f>
        <v>2310400</v>
      </c>
      <c r="L58" s="61">
        <f>L53</f>
        <v>1</v>
      </c>
      <c r="M58" s="62">
        <f>SUM(M53:M57)</f>
        <v>2468312</v>
      </c>
      <c r="N58" s="63">
        <f>SUM(I58+K58+M58)</f>
        <v>6698712</v>
      </c>
      <c r="P58" t="str">
        <f t="shared" si="8"/>
        <v>-</v>
      </c>
      <c r="Q58" t="str">
        <f>IFERROR(VLOOKUP($P58,'Short Crosswalk'!$A$1:$G$29,4,0),"")</f>
        <v/>
      </c>
      <c r="R58" t="str">
        <f>IFERROR(VLOOKUP($P58,'Short Crosswalk'!$A$1:$G$29,7,0),"")</f>
        <v/>
      </c>
      <c r="S58" t="str">
        <f t="shared" si="9"/>
        <v xml:space="preserve"> </v>
      </c>
      <c r="T58" t="str">
        <f t="shared" si="10"/>
        <v/>
      </c>
    </row>
    <row r="59" spans="1:20" ht="25.5" customHeight="1">
      <c r="A59" s="97" t="s">
        <v>90</v>
      </c>
      <c r="B59" s="93" t="s">
        <v>91</v>
      </c>
      <c r="C59" s="51" t="str">
        <f t="shared" ref="C59:D64" si="14">Q59</f>
        <v>Administration</v>
      </c>
      <c r="D59" s="51" t="str">
        <f t="shared" si="14"/>
        <v>01-Professional Salaries</v>
      </c>
      <c r="E59" s="51" t="s">
        <v>92</v>
      </c>
      <c r="F59" s="51" t="s">
        <v>93</v>
      </c>
      <c r="G59" s="55" t="s">
        <v>94</v>
      </c>
      <c r="H59" s="41">
        <v>1</v>
      </c>
      <c r="I59" s="40">
        <v>130000</v>
      </c>
      <c r="J59" s="41">
        <v>1</v>
      </c>
      <c r="K59" s="40">
        <v>130000</v>
      </c>
      <c r="L59" s="41">
        <v>1</v>
      </c>
      <c r="M59" s="40">
        <v>130000</v>
      </c>
      <c r="P59" t="str">
        <f t="shared" si="8"/>
        <v>Administration-Salaries - Administrator</v>
      </c>
      <c r="Q59" t="str">
        <f>IFERROR(VLOOKUP($P59,'Short Crosswalk'!$A$1:$G$29,4,0),"")</f>
        <v>Administration</v>
      </c>
      <c r="R59" t="str">
        <f>IFERROR(VLOOKUP($P59,'Short Crosswalk'!$A$1:$G$29,7,0),"")</f>
        <v>01-Professional Salaries</v>
      </c>
      <c r="S59" t="str">
        <f t="shared" si="9"/>
        <v>Administration 01-Professional Salaries</v>
      </c>
      <c r="T59">
        <f t="shared" si="10"/>
        <v>1</v>
      </c>
    </row>
    <row r="60" spans="1:20" ht="25.5" customHeight="1">
      <c r="A60" s="97"/>
      <c r="B60" s="93"/>
      <c r="C60" s="51" t="str">
        <f t="shared" si="14"/>
        <v>Teachers</v>
      </c>
      <c r="D60" s="51" t="str">
        <f t="shared" si="14"/>
        <v>01-Professional Salaries</v>
      </c>
      <c r="E60" s="51" t="s">
        <v>40</v>
      </c>
      <c r="F60" s="51" t="s">
        <v>43</v>
      </c>
      <c r="G60" s="55" t="s">
        <v>95</v>
      </c>
      <c r="H60" s="41"/>
      <c r="I60" s="40"/>
      <c r="J60" s="41"/>
      <c r="K60" s="40"/>
      <c r="L60" s="41">
        <v>8</v>
      </c>
      <c r="M60" s="40">
        <f>L60*100000</f>
        <v>800000</v>
      </c>
      <c r="P60" t="str">
        <f t="shared" si="8"/>
        <v>Classroom &amp; Specialist Teachers-Salaries - Instructional</v>
      </c>
      <c r="Q60" t="str">
        <f>IFERROR(VLOOKUP($P60,'Short Crosswalk'!$A$1:$G$29,4,0),"")</f>
        <v>Teachers</v>
      </c>
      <c r="R60" t="str">
        <f>IFERROR(VLOOKUP($P60,'Short Crosswalk'!$A$1:$G$29,7,0),"")</f>
        <v>01-Professional Salaries</v>
      </c>
      <c r="S60" t="str">
        <f t="shared" si="9"/>
        <v>Teachers 01-Professional Salaries</v>
      </c>
      <c r="T60">
        <f t="shared" si="10"/>
        <v>1</v>
      </c>
    </row>
    <row r="61" spans="1:20" ht="24" customHeight="1">
      <c r="A61" s="97"/>
      <c r="B61" s="93"/>
      <c r="C61" s="51" t="str">
        <f t="shared" si="14"/>
        <v>Other Teaching Services</v>
      </c>
      <c r="D61" s="51" t="str">
        <f t="shared" si="14"/>
        <v>02-Clerical Salaries</v>
      </c>
      <c r="E61" s="51" t="s">
        <v>96</v>
      </c>
      <c r="F61" s="51" t="s">
        <v>78</v>
      </c>
      <c r="G61" s="55" t="s">
        <v>97</v>
      </c>
      <c r="H61" s="41"/>
      <c r="I61" s="40"/>
      <c r="J61" s="41"/>
      <c r="K61" s="40"/>
      <c r="L61" s="41">
        <v>8</v>
      </c>
      <c r="M61" s="40">
        <f>L61*4000</f>
        <v>32000</v>
      </c>
      <c r="P61" t="str">
        <f t="shared" si="8"/>
        <v>Other Teaching Services-Salaries - Clerical/Support</v>
      </c>
      <c r="Q61" t="str">
        <f>IFERROR(VLOOKUP($P61,'Short Crosswalk'!$A$1:$G$29,4,0),"")</f>
        <v>Other Teaching Services</v>
      </c>
      <c r="R61" t="str">
        <f>IFERROR(VLOOKUP($P61,'Short Crosswalk'!$A$1:$G$29,7,0),"")</f>
        <v>02-Clerical Salaries</v>
      </c>
      <c r="S61" t="str">
        <f t="shared" si="9"/>
        <v>Other Teaching Services 02-Clerical Salaries</v>
      </c>
      <c r="T61">
        <f t="shared" si="10"/>
        <v>2</v>
      </c>
    </row>
    <row r="62" spans="1:20" ht="25.5" customHeight="1">
      <c r="A62" s="97"/>
      <c r="B62" s="93"/>
      <c r="C62" s="51" t="str">
        <f t="shared" si="14"/>
        <v xml:space="preserve">Operations and Maintenance </v>
      </c>
      <c r="D62" s="51" t="str">
        <f t="shared" si="14"/>
        <v>05-Supplies and Materials</v>
      </c>
      <c r="E62" s="51" t="s">
        <v>28</v>
      </c>
      <c r="F62" s="51" t="s">
        <v>33</v>
      </c>
      <c r="G62" s="55" t="s">
        <v>98</v>
      </c>
      <c r="H62" s="54"/>
      <c r="I62" s="40">
        <v>6900000</v>
      </c>
      <c r="J62" s="54"/>
      <c r="K62" s="40"/>
      <c r="L62" s="54"/>
      <c r="M62" s="40">
        <v>1000000</v>
      </c>
      <c r="P62" t="str">
        <f t="shared" si="8"/>
        <v>Operations and Maintenance-Supplies and Materials</v>
      </c>
      <c r="Q62" t="str">
        <f>IFERROR(VLOOKUP($P62,'Short Crosswalk'!$A$1:$G$29,4,0),"")</f>
        <v xml:space="preserve">Operations and Maintenance </v>
      </c>
      <c r="R62" t="str">
        <f>IFERROR(VLOOKUP($P62,'Short Crosswalk'!$A$1:$G$29,7,0),"")</f>
        <v>05-Supplies and Materials</v>
      </c>
      <c r="S62" t="str">
        <f t="shared" si="9"/>
        <v>Operations and Maintenance  05-Supplies and Materials</v>
      </c>
      <c r="T62">
        <f t="shared" si="10"/>
        <v>5</v>
      </c>
    </row>
    <row r="63" spans="1:20" ht="31.5">
      <c r="A63" s="97"/>
      <c r="B63" s="93"/>
      <c r="C63" s="51" t="str">
        <f t="shared" si="14"/>
        <v xml:space="preserve">Instructional Materials, Equipment and Technology </v>
      </c>
      <c r="D63" s="51" t="str">
        <f t="shared" si="14"/>
        <v>05-Supplies and Materials</v>
      </c>
      <c r="E63" s="51" t="s">
        <v>28</v>
      </c>
      <c r="F63" s="51" t="s">
        <v>29</v>
      </c>
      <c r="G63" s="55" t="s">
        <v>99</v>
      </c>
      <c r="H63" s="54"/>
      <c r="I63" s="40"/>
      <c r="J63" s="54"/>
      <c r="K63" s="40"/>
      <c r="L63" s="54"/>
      <c r="M63" s="40">
        <v>100000</v>
      </c>
      <c r="P63" t="str">
        <f t="shared" si="8"/>
        <v>Instructional Materials, Equip., and Tech.-Supplies and Materials</v>
      </c>
      <c r="Q63" t="str">
        <f>IFERROR(VLOOKUP($P63,'Short Crosswalk'!$A$1:$G$29,4,0),"")</f>
        <v xml:space="preserve">Instructional Materials, Equipment and Technology </v>
      </c>
      <c r="R63" t="str">
        <f>IFERROR(VLOOKUP($P63,'Short Crosswalk'!$A$1:$G$29,7,0),"")</f>
        <v>05-Supplies and Materials</v>
      </c>
      <c r="S63" t="str">
        <f t="shared" si="9"/>
        <v>Instructional Materials, Equipment and Technology  05-Supplies and Materials</v>
      </c>
      <c r="T63">
        <f t="shared" si="10"/>
        <v>5</v>
      </c>
    </row>
    <row r="64" spans="1:20" ht="25.5" customHeight="1">
      <c r="A64" s="97"/>
      <c r="B64" s="93"/>
      <c r="C64" s="51" t="str">
        <f t="shared" si="14"/>
        <v xml:space="preserve">Benefits and Fixed Charges </v>
      </c>
      <c r="D64" s="51" t="str">
        <f t="shared" si="14"/>
        <v>04-Contracted Services</v>
      </c>
      <c r="E64" s="51" t="s">
        <v>26</v>
      </c>
      <c r="F64" s="51" t="s">
        <v>35</v>
      </c>
      <c r="G64" s="55" t="s">
        <v>36</v>
      </c>
      <c r="H64" s="54"/>
      <c r="I64" s="80">
        <v>10000</v>
      </c>
      <c r="J64" s="54"/>
      <c r="K64" s="80">
        <v>10000</v>
      </c>
      <c r="L64" s="54"/>
      <c r="M64" s="80">
        <v>90000</v>
      </c>
      <c r="P64" t="str">
        <f t="shared" si="8"/>
        <v>Benefits and Fixed Charges -Contractual Services</v>
      </c>
      <c r="Q64" t="str">
        <f>IFERROR(VLOOKUP($P64,'Short Crosswalk'!$A$1:$G$29,4,0),"")</f>
        <v xml:space="preserve">Benefits and Fixed Charges </v>
      </c>
      <c r="R64" t="str">
        <f>IFERROR(VLOOKUP($P64,'Short Crosswalk'!$A$1:$G$29,7,0),"")</f>
        <v>04-Contracted Services</v>
      </c>
      <c r="S64" t="str">
        <f t="shared" si="9"/>
        <v>Benefits and Fixed Charges  04-Contracted Services</v>
      </c>
      <c r="T64">
        <f t="shared" si="10"/>
        <v>4</v>
      </c>
    </row>
    <row r="65" spans="1:20" ht="13.5" customHeight="1">
      <c r="A65" s="97"/>
      <c r="B65" s="58"/>
      <c r="C65" s="59"/>
      <c r="D65" s="59"/>
      <c r="E65" s="59"/>
      <c r="F65" s="59"/>
      <c r="G65" s="60" t="s">
        <v>37</v>
      </c>
      <c r="H65" s="61">
        <f>SUM(H59+H60+H61)</f>
        <v>1</v>
      </c>
      <c r="I65" s="62">
        <f>SUM(I59:I64)</f>
        <v>7040000</v>
      </c>
      <c r="J65" s="61">
        <f>SUM(J59+J60+J61)</f>
        <v>1</v>
      </c>
      <c r="K65" s="62">
        <f>SUM(K59:K64)</f>
        <v>140000</v>
      </c>
      <c r="L65" s="61">
        <f>SUM(L59+L60+L61)</f>
        <v>17</v>
      </c>
      <c r="M65" s="62">
        <f>SUM(M59:M64)</f>
        <v>2152000</v>
      </c>
      <c r="N65" s="63">
        <f>SUM(I65+K65+M65)</f>
        <v>9332000</v>
      </c>
      <c r="P65" t="str">
        <f t="shared" si="8"/>
        <v>-</v>
      </c>
      <c r="Q65" t="str">
        <f>IFERROR(VLOOKUP($P65,'Short Crosswalk'!$A$1:$G$29,4,0),"")</f>
        <v/>
      </c>
      <c r="R65" t="str">
        <f>IFERROR(VLOOKUP($P65,'Short Crosswalk'!$A$1:$G$29,7,0),"")</f>
        <v/>
      </c>
      <c r="S65" t="str">
        <f t="shared" si="9"/>
        <v xml:space="preserve"> </v>
      </c>
      <c r="T65" t="str">
        <f t="shared" si="10"/>
        <v/>
      </c>
    </row>
    <row r="66" spans="1:20" ht="23.45" customHeight="1">
      <c r="A66" s="97"/>
      <c r="B66" s="98" t="s">
        <v>100</v>
      </c>
      <c r="C66" s="51" t="str">
        <f>Q66</f>
        <v>Teachers</v>
      </c>
      <c r="D66" s="51" t="str">
        <f>R66</f>
        <v>01-Professional Salaries</v>
      </c>
      <c r="E66" s="51" t="s">
        <v>52</v>
      </c>
      <c r="F66" s="51" t="s">
        <v>43</v>
      </c>
      <c r="G66" s="55" t="s">
        <v>101</v>
      </c>
      <c r="H66" s="65"/>
      <c r="I66" s="40"/>
      <c r="J66" s="54"/>
      <c r="K66" s="40"/>
      <c r="L66" s="54"/>
      <c r="M66" s="40"/>
      <c r="P66" t="str">
        <f t="shared" si="8"/>
        <v>Classroom &amp; Specialist Teachers-Stipends</v>
      </c>
      <c r="Q66" t="str">
        <f>IFERROR(VLOOKUP($P66,'Short Crosswalk'!$A$1:$G$29,4,0),"")</f>
        <v>Teachers</v>
      </c>
      <c r="R66" t="str">
        <f>IFERROR(VLOOKUP($P66,'Short Crosswalk'!$A$1:$G$29,7,0),"")</f>
        <v>01-Professional Salaries</v>
      </c>
      <c r="S66" t="str">
        <f t="shared" si="9"/>
        <v>Teachers 01-Professional Salaries</v>
      </c>
      <c r="T66">
        <f t="shared" si="10"/>
        <v>1</v>
      </c>
    </row>
    <row r="67" spans="1:20" ht="24" customHeight="1">
      <c r="A67" s="97"/>
      <c r="B67" s="98"/>
      <c r="C67" s="51" t="str">
        <f>Q67</f>
        <v>Other Teaching Services</v>
      </c>
      <c r="D67" s="51" t="str">
        <f>R67</f>
        <v>04-Contracted Services</v>
      </c>
      <c r="E67" s="51" t="s">
        <v>26</v>
      </c>
      <c r="F67" s="51" t="s">
        <v>78</v>
      </c>
      <c r="G67" s="55" t="s">
        <v>102</v>
      </c>
      <c r="H67" s="65"/>
      <c r="I67" s="40"/>
      <c r="J67" s="54"/>
      <c r="K67" s="40"/>
      <c r="L67" s="54"/>
      <c r="M67" s="40"/>
      <c r="P67" t="str">
        <f t="shared" si="8"/>
        <v>Other Teaching Services-Contractual Services</v>
      </c>
      <c r="Q67" t="str">
        <f>IFERROR(VLOOKUP($P67,'Short Crosswalk'!$A$1:$G$29,4,0),"")</f>
        <v>Other Teaching Services</v>
      </c>
      <c r="R67" t="str">
        <f>IFERROR(VLOOKUP($P67,'Short Crosswalk'!$A$1:$G$29,7,0),"")</f>
        <v>04-Contracted Services</v>
      </c>
      <c r="S67" t="str">
        <f t="shared" si="9"/>
        <v>Other Teaching Services 04-Contracted Services</v>
      </c>
      <c r="T67">
        <f t="shared" si="10"/>
        <v>4</v>
      </c>
    </row>
    <row r="68" spans="1:20" ht="13.5" customHeight="1">
      <c r="A68" s="97"/>
      <c r="B68" s="58"/>
      <c r="C68" s="59"/>
      <c r="D68" s="59"/>
      <c r="E68" s="59"/>
      <c r="F68" s="59"/>
      <c r="G68" s="60" t="s">
        <v>37</v>
      </c>
      <c r="H68" s="64"/>
      <c r="I68" s="62">
        <f>SUM(I66:I67)</f>
        <v>0</v>
      </c>
      <c r="J68" s="61"/>
      <c r="K68" s="62">
        <f>SUM(K66:K67)</f>
        <v>0</v>
      </c>
      <c r="L68" s="61"/>
      <c r="M68" s="62">
        <f>SUM(M66:M67)</f>
        <v>0</v>
      </c>
      <c r="N68" s="63">
        <f>SUM(I68+K68+M68)</f>
        <v>0</v>
      </c>
      <c r="P68" t="str">
        <f t="shared" si="8"/>
        <v>-</v>
      </c>
      <c r="Q68" t="str">
        <f>IFERROR(VLOOKUP($P68,'Short Crosswalk'!$A$1:$G$29,4,0),"")</f>
        <v/>
      </c>
      <c r="R68" t="str">
        <f>IFERROR(VLOOKUP($P68,'Short Crosswalk'!$A$1:$G$29,7,0),"")</f>
        <v/>
      </c>
      <c r="S68" t="str">
        <f t="shared" si="9"/>
        <v xml:space="preserve"> </v>
      </c>
      <c r="T68" t="str">
        <f t="shared" si="10"/>
        <v/>
      </c>
    </row>
    <row r="69" spans="1:20" ht="25.5" customHeight="1">
      <c r="A69" s="97"/>
      <c r="B69" s="93" t="s">
        <v>103</v>
      </c>
      <c r="C69" s="51" t="str">
        <f t="shared" ref="C69:D72" si="15">Q69</f>
        <v>Teachers</v>
      </c>
      <c r="D69" s="51" t="str">
        <f t="shared" si="15"/>
        <v>01-Professional Salaries</v>
      </c>
      <c r="E69" s="51" t="s">
        <v>40</v>
      </c>
      <c r="F69" s="51" t="s">
        <v>43</v>
      </c>
      <c r="G69" s="55" t="s">
        <v>104</v>
      </c>
      <c r="H69" s="41"/>
      <c r="I69" s="40"/>
      <c r="J69" s="41"/>
      <c r="K69" s="40"/>
      <c r="L69" s="41"/>
      <c r="M69" s="40"/>
      <c r="P69" t="str">
        <f t="shared" ref="P69:P93" si="16">_xlfn.CONCAT(F69,"-",E69)</f>
        <v>Classroom &amp; Specialist Teachers-Salaries - Instructional</v>
      </c>
      <c r="Q69" t="str">
        <f>IFERROR(VLOOKUP($P69,'Short Crosswalk'!$A$1:$G$29,4,0),"")</f>
        <v>Teachers</v>
      </c>
      <c r="R69" t="str">
        <f>IFERROR(VLOOKUP($P69,'Short Crosswalk'!$A$1:$G$29,7,0),"")</f>
        <v>01-Professional Salaries</v>
      </c>
      <c r="S69" t="str">
        <f t="shared" ref="S69:S93" si="17">_xlfn.CONCAT(Q69," ", R69)</f>
        <v>Teachers 01-Professional Salaries</v>
      </c>
      <c r="T69">
        <f t="shared" ref="T69:T93" si="18">IFERROR(VALUE(LEFT(D69,2)),"")</f>
        <v>1</v>
      </c>
    </row>
    <row r="70" spans="1:20" ht="21">
      <c r="A70" s="97"/>
      <c r="B70" s="93"/>
      <c r="C70" s="51" t="str">
        <f t="shared" si="15"/>
        <v>Professional Development</v>
      </c>
      <c r="D70" s="51" t="str">
        <f t="shared" si="15"/>
        <v>04-Contracted Services</v>
      </c>
      <c r="E70" s="51" t="s">
        <v>26</v>
      </c>
      <c r="F70" s="51" t="s">
        <v>31</v>
      </c>
      <c r="G70" s="55" t="s">
        <v>105</v>
      </c>
      <c r="H70" s="54"/>
      <c r="I70" s="40"/>
      <c r="J70" s="54"/>
      <c r="K70" s="40"/>
      <c r="L70" s="54"/>
      <c r="M70" s="40"/>
      <c r="P70" t="str">
        <f t="shared" si="16"/>
        <v>Professional Development-Contractual Services</v>
      </c>
      <c r="Q70" t="str">
        <f>IFERROR(VLOOKUP($P70,'Short Crosswalk'!$A$1:$G$29,4,0),"")</f>
        <v>Professional Development</v>
      </c>
      <c r="R70" t="str">
        <f>IFERROR(VLOOKUP($P70,'Short Crosswalk'!$A$1:$G$29,7,0),"")</f>
        <v>04-Contracted Services</v>
      </c>
      <c r="S70" t="str">
        <f t="shared" si="17"/>
        <v>Professional Development 04-Contracted Services</v>
      </c>
      <c r="T70">
        <f t="shared" si="18"/>
        <v>4</v>
      </c>
    </row>
    <row r="71" spans="1:20" ht="31.5">
      <c r="A71" s="97"/>
      <c r="B71" s="93"/>
      <c r="C71" s="51" t="str">
        <f t="shared" si="15"/>
        <v xml:space="preserve">Instructional Materials, Equipment and Technology </v>
      </c>
      <c r="D71" s="51" t="str">
        <f t="shared" si="15"/>
        <v>05-Supplies and Materials</v>
      </c>
      <c r="E71" s="51" t="s">
        <v>28</v>
      </c>
      <c r="F71" s="51" t="s">
        <v>29</v>
      </c>
      <c r="G71" s="55" t="s">
        <v>106</v>
      </c>
      <c r="H71" s="54"/>
      <c r="I71" s="40">
        <v>30000</v>
      </c>
      <c r="J71" s="54"/>
      <c r="K71" s="40">
        <v>30000</v>
      </c>
      <c r="L71" s="54"/>
      <c r="M71" s="40">
        <v>30000</v>
      </c>
      <c r="P71" t="str">
        <f t="shared" si="16"/>
        <v>Instructional Materials, Equip., and Tech.-Supplies and Materials</v>
      </c>
      <c r="Q71" t="str">
        <f>IFERROR(VLOOKUP($P71,'Short Crosswalk'!$A$1:$G$29,4,0),"")</f>
        <v xml:space="preserve">Instructional Materials, Equipment and Technology </v>
      </c>
      <c r="R71" t="str">
        <f>IFERROR(VLOOKUP($P71,'Short Crosswalk'!$A$1:$G$29,7,0),"")</f>
        <v>05-Supplies and Materials</v>
      </c>
      <c r="S71" t="str">
        <f t="shared" si="17"/>
        <v>Instructional Materials, Equipment and Technology  05-Supplies and Materials</v>
      </c>
      <c r="T71">
        <f t="shared" si="18"/>
        <v>5</v>
      </c>
    </row>
    <row r="72" spans="1:20" ht="27" customHeight="1">
      <c r="A72" s="97"/>
      <c r="B72" s="93"/>
      <c r="C72" s="51" t="str">
        <f t="shared" si="15"/>
        <v xml:space="preserve">Benefits and Fixed Charges </v>
      </c>
      <c r="D72" s="51" t="str">
        <f t="shared" si="15"/>
        <v>04-Contracted Services</v>
      </c>
      <c r="E72" s="51" t="s">
        <v>26</v>
      </c>
      <c r="F72" s="51" t="s">
        <v>35</v>
      </c>
      <c r="G72" s="55" t="s">
        <v>36</v>
      </c>
      <c r="H72" s="54"/>
      <c r="I72" s="80"/>
      <c r="J72" s="54"/>
      <c r="K72" s="80"/>
      <c r="L72" s="54"/>
      <c r="M72" s="80"/>
      <c r="P72" t="str">
        <f t="shared" si="16"/>
        <v>Benefits and Fixed Charges -Contractual Services</v>
      </c>
      <c r="Q72" t="str">
        <f>IFERROR(VLOOKUP($P72,'Short Crosswalk'!$A$1:$G$29,4,0),"")</f>
        <v xml:space="preserve">Benefits and Fixed Charges </v>
      </c>
      <c r="R72" t="str">
        <f>IFERROR(VLOOKUP($P72,'Short Crosswalk'!$A$1:$G$29,7,0),"")</f>
        <v>04-Contracted Services</v>
      </c>
      <c r="S72" t="str">
        <f t="shared" si="17"/>
        <v>Benefits and Fixed Charges  04-Contracted Services</v>
      </c>
      <c r="T72">
        <f t="shared" si="18"/>
        <v>4</v>
      </c>
    </row>
    <row r="73" spans="1:20" ht="13.5" customHeight="1">
      <c r="A73" s="97"/>
      <c r="B73" s="58"/>
      <c r="C73" s="59"/>
      <c r="D73" s="59"/>
      <c r="E73" s="59"/>
      <c r="F73" s="59"/>
      <c r="G73" s="60" t="s">
        <v>37</v>
      </c>
      <c r="H73" s="61">
        <f>H69</f>
        <v>0</v>
      </c>
      <c r="I73" s="62">
        <f>SUM(I69:I72)</f>
        <v>30000</v>
      </c>
      <c r="J73" s="61">
        <f>J69</f>
        <v>0</v>
      </c>
      <c r="K73" s="62">
        <f>SUM(K69:K72)</f>
        <v>30000</v>
      </c>
      <c r="L73" s="61">
        <f>L69</f>
        <v>0</v>
      </c>
      <c r="M73" s="62">
        <f>SUM(M69:M72)</f>
        <v>30000</v>
      </c>
      <c r="N73" s="63">
        <f>SUM(I73+K73+M73)</f>
        <v>90000</v>
      </c>
      <c r="P73" t="str">
        <f t="shared" si="16"/>
        <v>-</v>
      </c>
      <c r="Q73" t="str">
        <f>IFERROR(VLOOKUP($P73,'Short Crosswalk'!$A$1:$G$29,4,0),"")</f>
        <v/>
      </c>
      <c r="R73" t="str">
        <f>IFERROR(VLOOKUP($P73,'Short Crosswalk'!$A$1:$G$29,7,0),"")</f>
        <v/>
      </c>
      <c r="S73" t="str">
        <f t="shared" si="17"/>
        <v xml:space="preserve"> </v>
      </c>
      <c r="T73" t="str">
        <f t="shared" si="18"/>
        <v/>
      </c>
    </row>
    <row r="74" spans="1:20" ht="26.45" customHeight="1">
      <c r="A74" s="97"/>
      <c r="B74" s="93" t="s">
        <v>107</v>
      </c>
      <c r="C74" s="51" t="str">
        <f t="shared" ref="C74:D76" si="19">Q74</f>
        <v>Teachers</v>
      </c>
      <c r="D74" s="51" t="str">
        <f t="shared" si="19"/>
        <v>01-Professional Salaries</v>
      </c>
      <c r="E74" s="51" t="s">
        <v>40</v>
      </c>
      <c r="F74" s="51" t="s">
        <v>43</v>
      </c>
      <c r="G74" s="55" t="s">
        <v>108</v>
      </c>
      <c r="H74" s="41">
        <v>72</v>
      </c>
      <c r="I74" s="40">
        <f>H74*100000</f>
        <v>7200000</v>
      </c>
      <c r="J74" s="41">
        <v>72</v>
      </c>
      <c r="K74" s="40">
        <f>I74*1.03</f>
        <v>7416000</v>
      </c>
      <c r="L74" s="41">
        <v>72</v>
      </c>
      <c r="M74" s="40">
        <f>K74*1.03</f>
        <v>7638480</v>
      </c>
      <c r="P74" t="str">
        <f t="shared" si="16"/>
        <v>Classroom &amp; Specialist Teachers-Salaries - Instructional</v>
      </c>
      <c r="Q74" t="str">
        <f>IFERROR(VLOOKUP($P74,'Short Crosswalk'!$A$1:$G$29,4,0),"")</f>
        <v>Teachers</v>
      </c>
      <c r="R74" t="str">
        <f>IFERROR(VLOOKUP($P74,'Short Crosswalk'!$A$1:$G$29,7,0),"")</f>
        <v>01-Professional Salaries</v>
      </c>
      <c r="S74" t="str">
        <f t="shared" si="17"/>
        <v>Teachers 01-Professional Salaries</v>
      </c>
      <c r="T74">
        <f t="shared" si="18"/>
        <v>1</v>
      </c>
    </row>
    <row r="75" spans="1:20" ht="31.5">
      <c r="A75" s="97"/>
      <c r="B75" s="93"/>
      <c r="C75" s="51" t="str">
        <f t="shared" si="19"/>
        <v xml:space="preserve">Instructional Materials, Equipment and Technology </v>
      </c>
      <c r="D75" s="51" t="str">
        <f t="shared" si="19"/>
        <v>05-Supplies and Materials</v>
      </c>
      <c r="E75" s="51" t="s">
        <v>28</v>
      </c>
      <c r="F75" s="51" t="s">
        <v>29</v>
      </c>
      <c r="G75" s="55" t="s">
        <v>109</v>
      </c>
      <c r="H75" s="54"/>
      <c r="I75" s="40">
        <v>290000</v>
      </c>
      <c r="J75" s="54"/>
      <c r="K75" s="40">
        <v>290000</v>
      </c>
      <c r="L75" s="54"/>
      <c r="M75" s="40">
        <v>290000</v>
      </c>
      <c r="P75" t="str">
        <f t="shared" si="16"/>
        <v>Instructional Materials, Equip., and Tech.-Supplies and Materials</v>
      </c>
      <c r="Q75" t="str">
        <f>IFERROR(VLOOKUP($P75,'Short Crosswalk'!$A$1:$G$29,4,0),"")</f>
        <v xml:space="preserve">Instructional Materials, Equipment and Technology </v>
      </c>
      <c r="R75" t="str">
        <f>IFERROR(VLOOKUP($P75,'Short Crosswalk'!$A$1:$G$29,7,0),"")</f>
        <v>05-Supplies and Materials</v>
      </c>
      <c r="S75" t="str">
        <f t="shared" si="17"/>
        <v>Instructional Materials, Equipment and Technology  05-Supplies and Materials</v>
      </c>
      <c r="T75">
        <f t="shared" si="18"/>
        <v>5</v>
      </c>
    </row>
    <row r="76" spans="1:20" ht="26.45" customHeight="1">
      <c r="A76" s="97"/>
      <c r="B76" s="93"/>
      <c r="C76" s="51" t="str">
        <f t="shared" si="19"/>
        <v xml:space="preserve">Benefits and Fixed Charges </v>
      </c>
      <c r="D76" s="51" t="str">
        <f t="shared" si="19"/>
        <v>04-Contracted Services</v>
      </c>
      <c r="E76" s="51" t="s">
        <v>26</v>
      </c>
      <c r="F76" s="51" t="s">
        <v>35</v>
      </c>
      <c r="G76" s="55" t="s">
        <v>36</v>
      </c>
      <c r="H76" s="54"/>
      <c r="I76" s="80">
        <v>720000</v>
      </c>
      <c r="J76" s="54"/>
      <c r="K76" s="80">
        <v>720000</v>
      </c>
      <c r="L76" s="54"/>
      <c r="M76" s="80">
        <v>720000</v>
      </c>
      <c r="P76" t="str">
        <f t="shared" si="16"/>
        <v>Benefits and Fixed Charges -Contractual Services</v>
      </c>
      <c r="Q76" t="str">
        <f>IFERROR(VLOOKUP($P76,'Short Crosswalk'!$A$1:$G$29,4,0),"")</f>
        <v xml:space="preserve">Benefits and Fixed Charges </v>
      </c>
      <c r="R76" t="str">
        <f>IFERROR(VLOOKUP($P76,'Short Crosswalk'!$A$1:$G$29,7,0),"")</f>
        <v>04-Contracted Services</v>
      </c>
      <c r="S76" t="str">
        <f t="shared" si="17"/>
        <v>Benefits and Fixed Charges  04-Contracted Services</v>
      </c>
      <c r="T76">
        <f t="shared" si="18"/>
        <v>4</v>
      </c>
    </row>
    <row r="77" spans="1:20" ht="13.5" customHeight="1">
      <c r="A77" s="57"/>
      <c r="B77" s="58"/>
      <c r="C77" s="59"/>
      <c r="D77" s="59"/>
      <c r="E77" s="59"/>
      <c r="F77" s="59"/>
      <c r="G77" s="60" t="s">
        <v>37</v>
      </c>
      <c r="H77" s="61">
        <f>H74</f>
        <v>72</v>
      </c>
      <c r="I77" s="62">
        <f>SUM(I74:I76)</f>
        <v>8210000</v>
      </c>
      <c r="J77" s="61">
        <f>J74</f>
        <v>72</v>
      </c>
      <c r="K77" s="62">
        <f>SUM(K74:K76)</f>
        <v>8426000</v>
      </c>
      <c r="L77" s="61">
        <f>L74</f>
        <v>72</v>
      </c>
      <c r="M77" s="62">
        <f>SUM(M74:M76)</f>
        <v>8648480</v>
      </c>
      <c r="N77" s="63">
        <f>SUM(I77+K77+M77)</f>
        <v>25284480</v>
      </c>
      <c r="P77" t="str">
        <f t="shared" si="16"/>
        <v>-</v>
      </c>
      <c r="Q77" t="str">
        <f>IFERROR(VLOOKUP($P77,'Short Crosswalk'!$A$1:$G$29,4,0),"")</f>
        <v/>
      </c>
      <c r="R77" t="str">
        <f>IFERROR(VLOOKUP($P77,'Short Crosswalk'!$A$1:$G$29,7,0),"")</f>
        <v/>
      </c>
      <c r="S77" t="str">
        <f t="shared" si="17"/>
        <v xml:space="preserve"> </v>
      </c>
      <c r="T77" t="str">
        <f t="shared" si="18"/>
        <v/>
      </c>
    </row>
    <row r="78" spans="1:20" ht="23.45" customHeight="1">
      <c r="A78" s="92" t="s">
        <v>110</v>
      </c>
      <c r="B78" s="93" t="s">
        <v>111</v>
      </c>
      <c r="C78" s="51" t="str">
        <f t="shared" ref="C78:D81" si="20">Q78</f>
        <v>Administration</v>
      </c>
      <c r="D78" s="51" t="str">
        <f t="shared" si="20"/>
        <v>01-Professional Salaries</v>
      </c>
      <c r="E78" s="51" t="s">
        <v>92</v>
      </c>
      <c r="F78" s="51" t="s">
        <v>93</v>
      </c>
      <c r="G78" s="55" t="s">
        <v>112</v>
      </c>
      <c r="H78" s="41">
        <v>1</v>
      </c>
      <c r="I78" s="40">
        <v>180000</v>
      </c>
      <c r="J78" s="41">
        <v>1</v>
      </c>
      <c r="K78" s="40">
        <f>I78*1.03</f>
        <v>185400</v>
      </c>
      <c r="L78" s="41">
        <v>1</v>
      </c>
      <c r="M78" s="40">
        <f>K78*1.03</f>
        <v>190962</v>
      </c>
      <c r="P78" t="str">
        <f t="shared" si="16"/>
        <v>Administration-Salaries - Administrator</v>
      </c>
      <c r="Q78" t="str">
        <f>IFERROR(VLOOKUP($P78,'Short Crosswalk'!$A$1:$G$29,4,0),"")</f>
        <v>Administration</v>
      </c>
      <c r="R78" t="str">
        <f>IFERROR(VLOOKUP($P78,'Short Crosswalk'!$A$1:$G$29,7,0),"")</f>
        <v>01-Professional Salaries</v>
      </c>
      <c r="S78" t="str">
        <f t="shared" si="17"/>
        <v>Administration 01-Professional Salaries</v>
      </c>
      <c r="T78">
        <f t="shared" si="18"/>
        <v>1</v>
      </c>
    </row>
    <row r="79" spans="1:20" ht="25.5" customHeight="1">
      <c r="A79" s="92"/>
      <c r="B79" s="93"/>
      <c r="C79" s="51" t="str">
        <f t="shared" si="20"/>
        <v>Other Teaching Services</v>
      </c>
      <c r="D79" s="51" t="str">
        <f t="shared" si="20"/>
        <v>04-Contracted Services</v>
      </c>
      <c r="E79" s="51" t="s">
        <v>26</v>
      </c>
      <c r="F79" s="51" t="s">
        <v>78</v>
      </c>
      <c r="G79" s="55" t="s">
        <v>113</v>
      </c>
      <c r="H79" s="54"/>
      <c r="I79" s="40">
        <v>10000</v>
      </c>
      <c r="J79" s="54"/>
      <c r="K79" s="40">
        <v>10000</v>
      </c>
      <c r="L79" s="54"/>
      <c r="M79" s="40">
        <v>10000</v>
      </c>
      <c r="P79" t="str">
        <f t="shared" si="16"/>
        <v>Other Teaching Services-Contractual Services</v>
      </c>
      <c r="Q79" t="str">
        <f>IFERROR(VLOOKUP($P79,'Short Crosswalk'!$A$1:$G$29,4,0),"")</f>
        <v>Other Teaching Services</v>
      </c>
      <c r="R79" t="str">
        <f>IFERROR(VLOOKUP($P79,'Short Crosswalk'!$A$1:$G$29,7,0),"")</f>
        <v>04-Contracted Services</v>
      </c>
      <c r="S79" t="str">
        <f t="shared" si="17"/>
        <v>Other Teaching Services 04-Contracted Services</v>
      </c>
      <c r="T79">
        <f t="shared" si="18"/>
        <v>4</v>
      </c>
    </row>
    <row r="80" spans="1:20" ht="33.950000000000003" customHeight="1">
      <c r="A80" s="92"/>
      <c r="B80" s="93"/>
      <c r="C80" s="51" t="str">
        <f t="shared" si="20"/>
        <v>Teachers</v>
      </c>
      <c r="D80" s="51" t="str">
        <f t="shared" si="20"/>
        <v>06-Other Expenses</v>
      </c>
      <c r="E80" s="51" t="s">
        <v>88</v>
      </c>
      <c r="F80" s="51" t="s">
        <v>43</v>
      </c>
      <c r="G80" s="55" t="s">
        <v>114</v>
      </c>
      <c r="H80" s="54"/>
      <c r="I80" s="40">
        <v>40000</v>
      </c>
      <c r="J80" s="54"/>
      <c r="K80" s="40">
        <v>40000</v>
      </c>
      <c r="L80" s="54"/>
      <c r="M80" s="40">
        <v>40000</v>
      </c>
      <c r="P80" t="str">
        <f t="shared" si="16"/>
        <v>Classroom &amp; Specialist Teachers-Other</v>
      </c>
      <c r="Q80" t="str">
        <f>IFERROR(VLOOKUP($P80,'Short Crosswalk'!$A$1:$G$29,4,0),"")</f>
        <v>Teachers</v>
      </c>
      <c r="R80" t="str">
        <f>IFERROR(VLOOKUP($P80,'Short Crosswalk'!$A$1:$G$29,7,0),"")</f>
        <v>06-Other Expenses</v>
      </c>
      <c r="S80" t="str">
        <f t="shared" si="17"/>
        <v>Teachers 06-Other Expenses</v>
      </c>
      <c r="T80">
        <f t="shared" si="18"/>
        <v>6</v>
      </c>
    </row>
    <row r="81" spans="1:20" ht="23.45" customHeight="1">
      <c r="A81" s="92"/>
      <c r="B81" s="93"/>
      <c r="C81" s="51" t="str">
        <f t="shared" si="20"/>
        <v xml:space="preserve">Benefits and Fixed Charges </v>
      </c>
      <c r="D81" s="51" t="str">
        <f t="shared" si="20"/>
        <v>04-Contracted Services</v>
      </c>
      <c r="E81" s="51" t="s">
        <v>26</v>
      </c>
      <c r="F81" s="51" t="s">
        <v>35</v>
      </c>
      <c r="G81" s="55" t="s">
        <v>36</v>
      </c>
      <c r="H81" s="54"/>
      <c r="I81" s="80">
        <v>10000</v>
      </c>
      <c r="J81" s="54"/>
      <c r="K81" s="80">
        <v>10000</v>
      </c>
      <c r="L81" s="54"/>
      <c r="M81" s="80">
        <v>10000</v>
      </c>
      <c r="P81" t="str">
        <f t="shared" si="16"/>
        <v>Benefits and Fixed Charges -Contractual Services</v>
      </c>
      <c r="Q81" t="str">
        <f>IFERROR(VLOOKUP($P81,'Short Crosswalk'!$A$1:$G$29,4,0),"")</f>
        <v xml:space="preserve">Benefits and Fixed Charges </v>
      </c>
      <c r="R81" t="str">
        <f>IFERROR(VLOOKUP($P81,'Short Crosswalk'!$A$1:$G$29,7,0),"")</f>
        <v>04-Contracted Services</v>
      </c>
      <c r="S81" t="str">
        <f t="shared" si="17"/>
        <v>Benefits and Fixed Charges  04-Contracted Services</v>
      </c>
      <c r="T81">
        <f t="shared" si="18"/>
        <v>4</v>
      </c>
    </row>
    <row r="82" spans="1:20" ht="13.5" customHeight="1">
      <c r="A82" s="57"/>
      <c r="B82" s="58"/>
      <c r="C82" s="59"/>
      <c r="D82" s="59"/>
      <c r="E82" s="59"/>
      <c r="F82" s="59"/>
      <c r="G82" s="60" t="s">
        <v>37</v>
      </c>
      <c r="H82" s="61">
        <f>H78</f>
        <v>1</v>
      </c>
      <c r="I82" s="62">
        <f>SUM(I78:I81)</f>
        <v>240000</v>
      </c>
      <c r="J82" s="61">
        <f>J78</f>
        <v>1</v>
      </c>
      <c r="K82" s="62">
        <f>SUM(K78:K81)</f>
        <v>245400</v>
      </c>
      <c r="L82" s="61">
        <f>L78</f>
        <v>1</v>
      </c>
      <c r="M82" s="62">
        <f>SUM(M78:M81)</f>
        <v>250962</v>
      </c>
      <c r="N82" s="63">
        <f>SUM(I82+K82+M82)</f>
        <v>736362</v>
      </c>
      <c r="P82" t="str">
        <f t="shared" si="16"/>
        <v>-</v>
      </c>
      <c r="Q82" t="str">
        <f>IFERROR(VLOOKUP($P82,'Short Crosswalk'!$A$1:$G$29,4,0),"")</f>
        <v/>
      </c>
      <c r="R82" t="str">
        <f>IFERROR(VLOOKUP($P82,'Short Crosswalk'!$A$1:$G$29,7,0),"")</f>
        <v/>
      </c>
      <c r="S82" t="str">
        <f t="shared" si="17"/>
        <v xml:space="preserve"> </v>
      </c>
      <c r="T82" t="str">
        <f t="shared" si="18"/>
        <v/>
      </c>
    </row>
    <row r="83" spans="1:20" ht="23.45" customHeight="1">
      <c r="A83" s="92" t="s">
        <v>115</v>
      </c>
      <c r="B83" s="93" t="s">
        <v>116</v>
      </c>
      <c r="C83" s="51" t="str">
        <f t="shared" ref="C83:D85" si="21">Q83</f>
        <v>Professional Development</v>
      </c>
      <c r="D83" s="51" t="str">
        <f t="shared" si="21"/>
        <v>04-Contracted Services</v>
      </c>
      <c r="E83" s="51" t="s">
        <v>26</v>
      </c>
      <c r="F83" s="51" t="s">
        <v>31</v>
      </c>
      <c r="G83" s="55" t="s">
        <v>117</v>
      </c>
      <c r="H83" s="54"/>
      <c r="I83" s="40">
        <v>90000</v>
      </c>
      <c r="J83" s="54"/>
      <c r="K83" s="40">
        <v>90000</v>
      </c>
      <c r="L83" s="54"/>
      <c r="M83" s="40">
        <v>90000</v>
      </c>
      <c r="P83" t="str">
        <f t="shared" si="16"/>
        <v>Professional Development-Contractual Services</v>
      </c>
      <c r="Q83" t="str">
        <f>IFERROR(VLOOKUP($P83,'Short Crosswalk'!$A$1:$G$29,4,0),"")</f>
        <v>Professional Development</v>
      </c>
      <c r="R83" t="str">
        <f>IFERROR(VLOOKUP($P83,'Short Crosswalk'!$A$1:$G$29,7,0),"")</f>
        <v>04-Contracted Services</v>
      </c>
      <c r="S83" t="str">
        <f t="shared" si="17"/>
        <v>Professional Development 04-Contracted Services</v>
      </c>
      <c r="T83">
        <f t="shared" si="18"/>
        <v>4</v>
      </c>
    </row>
    <row r="84" spans="1:20" ht="24" customHeight="1">
      <c r="A84" s="92"/>
      <c r="B84" s="93"/>
      <c r="C84" s="51" t="str">
        <f t="shared" si="21"/>
        <v>Teachers</v>
      </c>
      <c r="D84" s="51" t="str">
        <f t="shared" si="21"/>
        <v>01-Professional Salaries</v>
      </c>
      <c r="E84" s="51" t="s">
        <v>52</v>
      </c>
      <c r="F84" s="51" t="s">
        <v>43</v>
      </c>
      <c r="G84" s="55" t="s">
        <v>118</v>
      </c>
      <c r="H84" s="54"/>
      <c r="I84" s="40">
        <v>200000</v>
      </c>
      <c r="J84" s="54"/>
      <c r="K84" s="40">
        <v>200000</v>
      </c>
      <c r="L84" s="54"/>
      <c r="M84" s="40">
        <v>200000</v>
      </c>
      <c r="P84" t="str">
        <f t="shared" si="16"/>
        <v>Classroom &amp; Specialist Teachers-Stipends</v>
      </c>
      <c r="Q84" t="str">
        <f>IFERROR(VLOOKUP($P84,'Short Crosswalk'!$A$1:$G$29,4,0),"")</f>
        <v>Teachers</v>
      </c>
      <c r="R84" t="str">
        <f>IFERROR(VLOOKUP($P84,'Short Crosswalk'!$A$1:$G$29,7,0),"")</f>
        <v>01-Professional Salaries</v>
      </c>
      <c r="S84" t="str">
        <f t="shared" si="17"/>
        <v>Teachers 01-Professional Salaries</v>
      </c>
      <c r="T84">
        <f t="shared" si="18"/>
        <v>1</v>
      </c>
    </row>
    <row r="85" spans="1:20" ht="32.450000000000003" customHeight="1">
      <c r="A85" s="92"/>
      <c r="B85" s="93"/>
      <c r="C85" s="51" t="str">
        <f t="shared" si="21"/>
        <v>Teachers</v>
      </c>
      <c r="D85" s="51" t="str">
        <f t="shared" si="21"/>
        <v>06-Other Expenses</v>
      </c>
      <c r="E85" s="51" t="s">
        <v>88</v>
      </c>
      <c r="F85" s="51" t="s">
        <v>43</v>
      </c>
      <c r="G85" s="55" t="s">
        <v>119</v>
      </c>
      <c r="H85" s="54"/>
      <c r="I85" s="40"/>
      <c r="J85" s="54"/>
      <c r="K85" s="40"/>
      <c r="L85" s="54"/>
      <c r="M85" s="40"/>
      <c r="P85" t="str">
        <f t="shared" si="16"/>
        <v>Classroom &amp; Specialist Teachers-Other</v>
      </c>
      <c r="Q85" t="str">
        <f>IFERROR(VLOOKUP($P85,'Short Crosswalk'!$A$1:$G$29,4,0),"")</f>
        <v>Teachers</v>
      </c>
      <c r="R85" t="str">
        <f>IFERROR(VLOOKUP($P85,'Short Crosswalk'!$A$1:$G$29,7,0),"")</f>
        <v>06-Other Expenses</v>
      </c>
      <c r="S85" t="str">
        <f t="shared" si="17"/>
        <v>Teachers 06-Other Expenses</v>
      </c>
      <c r="T85">
        <f t="shared" si="18"/>
        <v>6</v>
      </c>
    </row>
    <row r="86" spans="1:20" ht="13.5" customHeight="1">
      <c r="A86" s="57"/>
      <c r="B86" s="58"/>
      <c r="C86" s="59"/>
      <c r="D86" s="59"/>
      <c r="E86" s="59"/>
      <c r="F86" s="59"/>
      <c r="G86" s="60" t="s">
        <v>37</v>
      </c>
      <c r="H86" s="61"/>
      <c r="I86" s="62">
        <f>SUM(I83:I85)</f>
        <v>290000</v>
      </c>
      <c r="J86" s="61"/>
      <c r="K86" s="62">
        <f>SUM(K83:K85)</f>
        <v>290000</v>
      </c>
      <c r="L86" s="61"/>
      <c r="M86" s="62">
        <f>SUM(M83:M85)</f>
        <v>290000</v>
      </c>
      <c r="N86" s="63">
        <f>SUM(I86+K86+M86)</f>
        <v>870000</v>
      </c>
      <c r="P86" t="str">
        <f t="shared" si="16"/>
        <v>-</v>
      </c>
      <c r="Q86" t="str">
        <f>IFERROR(VLOOKUP($P86,'Short Crosswalk'!$A$1:$G$29,4,0),"")</f>
        <v/>
      </c>
      <c r="R86" t="str">
        <f>IFERROR(VLOOKUP($P86,'Short Crosswalk'!$A$1:$G$29,7,0),"")</f>
        <v/>
      </c>
      <c r="S86" t="str">
        <f t="shared" si="17"/>
        <v xml:space="preserve"> </v>
      </c>
      <c r="T86" t="str">
        <f t="shared" si="18"/>
        <v/>
      </c>
    </row>
    <row r="87" spans="1:20" ht="36" customHeight="1">
      <c r="A87" s="94" t="s">
        <v>120</v>
      </c>
      <c r="B87" s="95" t="s">
        <v>121</v>
      </c>
      <c r="C87" s="51" t="str">
        <f t="shared" ref="C87:D90" si="22">Q87</f>
        <v>Administration</v>
      </c>
      <c r="D87" s="51" t="str">
        <f t="shared" si="22"/>
        <v>01-Professional Salaries</v>
      </c>
      <c r="E87" s="51" t="s">
        <v>92</v>
      </c>
      <c r="F87" s="51" t="s">
        <v>93</v>
      </c>
      <c r="G87" s="55" t="s">
        <v>122</v>
      </c>
      <c r="H87" s="41">
        <v>2</v>
      </c>
      <c r="I87" s="40">
        <v>180000</v>
      </c>
      <c r="J87" s="41">
        <v>2</v>
      </c>
      <c r="K87" s="40">
        <f>I87*1.03</f>
        <v>185400</v>
      </c>
      <c r="L87" s="41">
        <v>2</v>
      </c>
      <c r="M87" s="40">
        <f>K87*1.03</f>
        <v>190962</v>
      </c>
      <c r="P87" t="str">
        <f t="shared" si="16"/>
        <v>Administration-Salaries - Administrator</v>
      </c>
      <c r="Q87" t="str">
        <f>IFERROR(VLOOKUP($P87,'Short Crosswalk'!$A$1:$G$29,4,0),"")</f>
        <v>Administration</v>
      </c>
      <c r="R87" t="str">
        <f>IFERROR(VLOOKUP($P87,'Short Crosswalk'!$A$1:$G$29,7,0),"")</f>
        <v>01-Professional Salaries</v>
      </c>
      <c r="S87" t="str">
        <f t="shared" si="17"/>
        <v>Administration 01-Professional Salaries</v>
      </c>
      <c r="T87">
        <f t="shared" si="18"/>
        <v>1</v>
      </c>
    </row>
    <row r="88" spans="1:20" ht="33.950000000000003" customHeight="1">
      <c r="A88" s="94"/>
      <c r="B88" s="95"/>
      <c r="C88" s="51" t="str">
        <f t="shared" si="22"/>
        <v>Administration</v>
      </c>
      <c r="D88" s="51" t="str">
        <f t="shared" si="22"/>
        <v>04-Contracted Services</v>
      </c>
      <c r="E88" s="51" t="s">
        <v>26</v>
      </c>
      <c r="F88" s="51" t="s">
        <v>93</v>
      </c>
      <c r="G88" s="55" t="s">
        <v>123</v>
      </c>
      <c r="H88" s="54"/>
      <c r="I88" s="40"/>
      <c r="J88" s="54"/>
      <c r="K88" s="40"/>
      <c r="L88" s="54"/>
      <c r="M88" s="40"/>
      <c r="P88" t="str">
        <f t="shared" si="16"/>
        <v>Administration-Contractual Services</v>
      </c>
      <c r="Q88" t="str">
        <f>IFERROR(VLOOKUP($P88,'Short Crosswalk'!$A$1:$G$29,4,0),"")</f>
        <v>Administration</v>
      </c>
      <c r="R88" t="str">
        <f>IFERROR(VLOOKUP($P88,'Short Crosswalk'!$A$1:$G$29,7,0),"")</f>
        <v>04-Contracted Services</v>
      </c>
      <c r="S88" t="str">
        <f t="shared" si="17"/>
        <v>Administration 04-Contracted Services</v>
      </c>
      <c r="T88">
        <f t="shared" si="18"/>
        <v>4</v>
      </c>
    </row>
    <row r="89" spans="1:20" ht="24" customHeight="1">
      <c r="A89" s="94"/>
      <c r="B89" s="95"/>
      <c r="C89" s="51" t="str">
        <f t="shared" si="22"/>
        <v>Teachers</v>
      </c>
      <c r="D89" s="51" t="str">
        <f t="shared" si="22"/>
        <v>01-Professional Salaries</v>
      </c>
      <c r="E89" s="51" t="s">
        <v>52</v>
      </c>
      <c r="F89" s="51" t="s">
        <v>43</v>
      </c>
      <c r="G89" s="55" t="s">
        <v>124</v>
      </c>
      <c r="H89" s="54"/>
      <c r="I89" s="40">
        <v>180000</v>
      </c>
      <c r="J89" s="54"/>
      <c r="K89" s="40">
        <v>180000</v>
      </c>
      <c r="L89" s="54"/>
      <c r="M89" s="40">
        <v>180000</v>
      </c>
      <c r="P89" t="str">
        <f t="shared" si="16"/>
        <v>Classroom &amp; Specialist Teachers-Stipends</v>
      </c>
      <c r="Q89" t="str">
        <f>IFERROR(VLOOKUP($P89,'Short Crosswalk'!$A$1:$G$29,4,0),"")</f>
        <v>Teachers</v>
      </c>
      <c r="R89" t="str">
        <f>IFERROR(VLOOKUP($P89,'Short Crosswalk'!$A$1:$G$29,7,0),"")</f>
        <v>01-Professional Salaries</v>
      </c>
      <c r="S89" t="str">
        <f t="shared" si="17"/>
        <v>Teachers 01-Professional Salaries</v>
      </c>
      <c r="T89">
        <f t="shared" si="18"/>
        <v>1</v>
      </c>
    </row>
    <row r="90" spans="1:20" ht="25.5" customHeight="1">
      <c r="A90" s="94"/>
      <c r="B90" s="95"/>
      <c r="C90" s="51" t="str">
        <f t="shared" si="22"/>
        <v xml:space="preserve">Benefits and Fixed Charges </v>
      </c>
      <c r="D90" s="51" t="str">
        <f t="shared" si="22"/>
        <v>04-Contracted Services</v>
      </c>
      <c r="E90" s="51" t="s">
        <v>26</v>
      </c>
      <c r="F90" s="51" t="s">
        <v>35</v>
      </c>
      <c r="G90" s="55" t="s">
        <v>36</v>
      </c>
      <c r="H90" s="54"/>
      <c r="I90" s="80">
        <v>20000</v>
      </c>
      <c r="J90" s="54"/>
      <c r="K90" s="80">
        <v>20000</v>
      </c>
      <c r="L90" s="54"/>
      <c r="M90" s="80">
        <v>20000</v>
      </c>
      <c r="P90" t="str">
        <f t="shared" si="16"/>
        <v>Benefits and Fixed Charges -Contractual Services</v>
      </c>
      <c r="Q90" t="str">
        <f>IFERROR(VLOOKUP($P90,'Short Crosswalk'!$A$1:$G$29,4,0),"")</f>
        <v xml:space="preserve">Benefits and Fixed Charges </v>
      </c>
      <c r="R90" t="str">
        <f>IFERROR(VLOOKUP($P90,'Short Crosswalk'!$A$1:$G$29,7,0),"")</f>
        <v>04-Contracted Services</v>
      </c>
      <c r="S90" t="str">
        <f t="shared" si="17"/>
        <v>Benefits and Fixed Charges  04-Contracted Services</v>
      </c>
      <c r="T90">
        <f t="shared" si="18"/>
        <v>4</v>
      </c>
    </row>
    <row r="91" spans="1:20">
      <c r="A91" s="66"/>
      <c r="B91" s="58"/>
      <c r="C91" s="58"/>
      <c r="D91" s="58"/>
      <c r="E91" s="59"/>
      <c r="F91" s="59"/>
      <c r="G91" s="60" t="s">
        <v>37</v>
      </c>
      <c r="H91" s="61">
        <f>H87</f>
        <v>2</v>
      </c>
      <c r="I91" s="62">
        <f>SUM(I87:I90)</f>
        <v>380000</v>
      </c>
      <c r="J91" s="61">
        <f>J87</f>
        <v>2</v>
      </c>
      <c r="K91" s="62">
        <f>SUM(K87:K90)</f>
        <v>385400</v>
      </c>
      <c r="L91" s="61">
        <f>L87</f>
        <v>2</v>
      </c>
      <c r="M91" s="62">
        <f>SUM(M87:M90)</f>
        <v>390962</v>
      </c>
      <c r="N91" s="63">
        <f>SUM(I91+K91+M91)</f>
        <v>1156362</v>
      </c>
      <c r="P91" t="str">
        <f t="shared" si="16"/>
        <v>-</v>
      </c>
      <c r="Q91" t="str">
        <f>IFERROR(VLOOKUP($P91,'Short Crosswalk'!$A$1:$G$29,4,0),"")</f>
        <v/>
      </c>
      <c r="R91" t="str">
        <f>IFERROR(VLOOKUP($P91,'Short Crosswalk'!$A$1:$G$29,7,0),"")</f>
        <v/>
      </c>
      <c r="S91" t="str">
        <f t="shared" si="17"/>
        <v xml:space="preserve"> </v>
      </c>
      <c r="T91" t="str">
        <f t="shared" si="18"/>
        <v/>
      </c>
    </row>
    <row r="92" spans="1:20">
      <c r="A92" s="67"/>
      <c r="B92" s="86"/>
      <c r="C92" s="86"/>
      <c r="D92" s="86"/>
      <c r="E92" s="68"/>
      <c r="F92" s="68"/>
      <c r="G92" s="69"/>
      <c r="H92" s="70"/>
      <c r="I92" s="71"/>
      <c r="J92" s="70"/>
      <c r="K92" s="71"/>
      <c r="L92" s="70"/>
      <c r="M92" s="71"/>
      <c r="N92" s="72"/>
      <c r="P92" t="str">
        <f t="shared" si="16"/>
        <v>-</v>
      </c>
      <c r="Q92" t="str">
        <f>IFERROR(VLOOKUP($P92,'Short Crosswalk'!$A$1:$G$29,4,0),"")</f>
        <v/>
      </c>
      <c r="R92" t="str">
        <f>IFERROR(VLOOKUP($P92,'Short Crosswalk'!$A$1:$G$29,7,0),"")</f>
        <v/>
      </c>
      <c r="S92" t="str">
        <f t="shared" si="17"/>
        <v xml:space="preserve"> </v>
      </c>
      <c r="T92" t="str">
        <f t="shared" si="18"/>
        <v/>
      </c>
    </row>
    <row r="93" spans="1:20" ht="14.45">
      <c r="A93" s="73"/>
      <c r="B93" s="74"/>
      <c r="C93" s="74"/>
      <c r="D93" s="74"/>
      <c r="E93" s="75"/>
      <c r="F93" s="76"/>
      <c r="G93" s="76" t="s">
        <v>125</v>
      </c>
      <c r="H93" s="77">
        <f t="shared" ref="H93:M93" si="23">H86+H82+H77+H73+H68+H65+H58+H52+H46+H41+H38+H35+H28+H22+H17+H11+H91</f>
        <v>536</v>
      </c>
      <c r="I93" s="78">
        <f t="shared" si="23"/>
        <v>68905977</v>
      </c>
      <c r="J93" s="77">
        <f t="shared" si="23"/>
        <v>547</v>
      </c>
      <c r="K93" s="78">
        <f t="shared" si="23"/>
        <v>65143976.310000002</v>
      </c>
      <c r="L93" s="77">
        <f t="shared" si="23"/>
        <v>563</v>
      </c>
      <c r="M93" s="78">
        <f t="shared" si="23"/>
        <v>68949115.599299997</v>
      </c>
      <c r="N93" s="79">
        <f>SUM(I93+K93+M93)</f>
        <v>202999068.9093</v>
      </c>
      <c r="O93" s="17"/>
      <c r="P93" t="str">
        <f t="shared" si="16"/>
        <v>-</v>
      </c>
      <c r="Q93" t="str">
        <f>IFERROR(VLOOKUP($P93,'Short Crosswalk'!$A$1:$G$29,4,0),"")</f>
        <v/>
      </c>
      <c r="R93" t="str">
        <f>IFERROR(VLOOKUP($P93,'Short Crosswalk'!$A$1:$G$29,7,0),"")</f>
        <v/>
      </c>
      <c r="S93" t="str">
        <f t="shared" si="17"/>
        <v xml:space="preserve"> </v>
      </c>
      <c r="T93" t="str">
        <f t="shared" si="18"/>
        <v/>
      </c>
    </row>
    <row r="94" spans="1:20">
      <c r="A94" s="18"/>
      <c r="B94" s="19"/>
      <c r="C94" s="20"/>
      <c r="D94" s="20"/>
      <c r="E94" s="18"/>
      <c r="F94" s="18"/>
      <c r="G94" s="18"/>
      <c r="H94" s="21"/>
      <c r="I94" s="22"/>
      <c r="J94" s="21"/>
      <c r="K94" s="22"/>
      <c r="L94" s="21"/>
      <c r="M94" s="22"/>
    </row>
  </sheetData>
  <sheetProtection selectLockedCells="1"/>
  <mergeCells count="38">
    <mergeCell ref="N2:N3"/>
    <mergeCell ref="A5:A10"/>
    <mergeCell ref="B5:B10"/>
    <mergeCell ref="A12:A16"/>
    <mergeCell ref="B12:B16"/>
    <mergeCell ref="F2:F3"/>
    <mergeCell ref="G2:G3"/>
    <mergeCell ref="H2:I2"/>
    <mergeCell ref="J2:K2"/>
    <mergeCell ref="L2:M2"/>
    <mergeCell ref="A2:A3"/>
    <mergeCell ref="B2:B3"/>
    <mergeCell ref="C2:C3"/>
    <mergeCell ref="D2:D3"/>
    <mergeCell ref="E2:E3"/>
    <mergeCell ref="A18:A21"/>
    <mergeCell ref="B18:B21"/>
    <mergeCell ref="A23:A34"/>
    <mergeCell ref="B23:B27"/>
    <mergeCell ref="B29:B34"/>
    <mergeCell ref="A36:A51"/>
    <mergeCell ref="B36:B37"/>
    <mergeCell ref="B39:B40"/>
    <mergeCell ref="B42:B45"/>
    <mergeCell ref="B47:B51"/>
    <mergeCell ref="A53:A57"/>
    <mergeCell ref="B53:B57"/>
    <mergeCell ref="A59:A76"/>
    <mergeCell ref="B59:B64"/>
    <mergeCell ref="B66:B67"/>
    <mergeCell ref="B69:B72"/>
    <mergeCell ref="B74:B76"/>
    <mergeCell ref="A78:A81"/>
    <mergeCell ref="B78:B81"/>
    <mergeCell ref="A83:A85"/>
    <mergeCell ref="B83:B85"/>
    <mergeCell ref="A87:A90"/>
    <mergeCell ref="B87:B90"/>
  </mergeCells>
  <pageMargins left="0.7" right="0.7" top="0.75" bottom="0.75" header="0.511811023622047" footer="0.511811023622047"/>
  <pageSetup scale="7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6"/>
  <sheetViews>
    <sheetView topLeftCell="A17" zoomScaleNormal="100" workbookViewId="0">
      <selection activeCell="D23" sqref="D23:H23"/>
    </sheetView>
  </sheetViews>
  <sheetFormatPr defaultColWidth="11.5703125" defaultRowHeight="12.6"/>
  <cols>
    <col min="1" max="1" width="43.5703125" customWidth="1"/>
    <col min="2" max="2" width="22.5703125" customWidth="1"/>
    <col min="7" max="7" width="15.85546875" customWidth="1"/>
    <col min="8" max="8" width="15.5703125" customWidth="1"/>
  </cols>
  <sheetData>
    <row r="1" spans="1:8" ht="15.6">
      <c r="A1" s="113" t="s">
        <v>126</v>
      </c>
      <c r="B1" s="113"/>
      <c r="C1" s="113"/>
      <c r="D1" s="113"/>
      <c r="E1" s="113"/>
      <c r="F1" s="113"/>
      <c r="G1" s="113"/>
      <c r="H1" s="113"/>
    </row>
    <row r="2" spans="1:8" ht="13.5" customHeight="1">
      <c r="A2" s="23"/>
      <c r="B2" s="24"/>
      <c r="C2" s="110" t="s">
        <v>10</v>
      </c>
      <c r="D2" s="110"/>
      <c r="E2" s="111" t="s">
        <v>11</v>
      </c>
      <c r="F2" s="111"/>
      <c r="G2" s="112" t="s">
        <v>12</v>
      </c>
      <c r="H2" s="112"/>
    </row>
    <row r="3" spans="1:8" ht="12.95">
      <c r="A3" s="25" t="s">
        <v>127</v>
      </c>
      <c r="B3" s="26" t="s">
        <v>128</v>
      </c>
      <c r="C3" s="26" t="s">
        <v>18</v>
      </c>
      <c r="D3" s="26" t="s">
        <v>129</v>
      </c>
      <c r="E3" s="26" t="s">
        <v>18</v>
      </c>
      <c r="F3" s="26" t="s">
        <v>129</v>
      </c>
      <c r="G3" s="26" t="s">
        <v>18</v>
      </c>
      <c r="H3" s="27" t="s">
        <v>129</v>
      </c>
    </row>
    <row r="4" spans="1:8">
      <c r="A4" s="28" t="s">
        <v>93</v>
      </c>
      <c r="B4" t="s">
        <v>26</v>
      </c>
      <c r="C4" s="29">
        <f>SUMIFS(Budget!$H$5:$H$90,Budget!$F$5:$F$90,$A4,Budget!$E$5:$E$90,$B4)</f>
        <v>0</v>
      </c>
      <c r="D4" s="4">
        <f>SUMIFS(Budget!$I$5:$I$90,Budget!$F$5:$F$90,$A4,Budget!$E$5:$E$90,$B4)</f>
        <v>0</v>
      </c>
      <c r="E4" s="29">
        <f>SUMIFS(Budget!$J$5:$J$90,Budget!$F$5:$F$90,$A4,Budget!$E$5:$E$90,$B4)</f>
        <v>0</v>
      </c>
      <c r="F4" s="4">
        <f>SUMIFS(Budget!$K$5:$K$90,Budget!$F$5:$F$90,$A4,Budget!$E$5:$E$90,$B4)</f>
        <v>0</v>
      </c>
      <c r="G4" s="29">
        <f>SUMIFS(Budget!$L$5:$L$90,Budget!$F$5:$F$90,$A4,Budget!$E$5:$E$90,$B4)</f>
        <v>0</v>
      </c>
      <c r="H4" s="30">
        <f>SUMIFS(Budget!$M$5:$M$90,Budget!$F$5:$F$90,$A4,Budget!$E$5:$E$90,$B4)</f>
        <v>0</v>
      </c>
    </row>
    <row r="5" spans="1:8">
      <c r="A5" s="28" t="s">
        <v>93</v>
      </c>
      <c r="B5" t="s">
        <v>92</v>
      </c>
      <c r="C5" s="29">
        <f>SUMIFS(Budget!$H$5:$H$90,Budget!$F$5:$F$90,$A5,Budget!$E$5:$E$90,$B5)</f>
        <v>4</v>
      </c>
      <c r="D5" s="4">
        <f>SUMIFS(Budget!$I$5:$I$90,Budget!$F$5:$F$90,$A5,Budget!$E$5:$E$90,$B5)</f>
        <v>490000</v>
      </c>
      <c r="E5" s="29">
        <f>SUMIFS(Budget!$J$5:$J$90,Budget!$F$5:$F$90,$A5,Budget!$E$5:$E$90,$B5)</f>
        <v>4</v>
      </c>
      <c r="F5" s="4">
        <f>SUMIFS(Budget!$K$5:$K$90,Budget!$F$5:$F$90,$A5,Budget!$E$5:$E$90,$B5)</f>
        <v>500800</v>
      </c>
      <c r="G5" s="29">
        <f>SUMIFS(Budget!$L$5:$L$90,Budget!$F$5:$F$90,$A5,Budget!$E$5:$E$90,$B5)</f>
        <v>4</v>
      </c>
      <c r="H5" s="30">
        <f>SUMIFS(Budget!$M$5:$M$90,Budget!$F$5:$F$90,$A5,Budget!$E$5:$E$90,$B5)</f>
        <v>511924</v>
      </c>
    </row>
    <row r="6" spans="1:8">
      <c r="A6" s="28" t="s">
        <v>43</v>
      </c>
      <c r="B6" t="s">
        <v>88</v>
      </c>
      <c r="C6" s="29">
        <f>SUMIFS(Budget!$H$5:$H$90,Budget!$F$5:$F$90,$A6,Budget!$E$5:$E$90,$B6)</f>
        <v>0</v>
      </c>
      <c r="D6" s="4">
        <f>SUMIFS(Budget!$I$5:$I$90,Budget!$F$5:$F$90,$A6,Budget!$E$5:$E$90,$B6)</f>
        <v>40000</v>
      </c>
      <c r="E6" s="29">
        <f>SUMIFS(Budget!$J$5:$J$90,Budget!$F$5:$F$90,$A6,Budget!$E$5:$E$90,$B6)</f>
        <v>0</v>
      </c>
      <c r="F6" s="4">
        <f>SUMIFS(Budget!$K$5:$K$90,Budget!$F$5:$F$90,$A6,Budget!$E$5:$E$90,$B6)</f>
        <v>40000</v>
      </c>
      <c r="G6" s="29">
        <f>SUMIFS(Budget!$L$5:$L$90,Budget!$F$5:$F$90,$A6,Budget!$E$5:$E$90,$B6)</f>
        <v>0</v>
      </c>
      <c r="H6" s="30">
        <f>SUMIFS(Budget!$M$5:$M$90,Budget!$F$5:$F$90,$A6,Budget!$E$5:$E$90,$B6)</f>
        <v>40000</v>
      </c>
    </row>
    <row r="7" spans="1:8">
      <c r="A7" s="28" t="s">
        <v>43</v>
      </c>
      <c r="B7" t="s">
        <v>40</v>
      </c>
      <c r="C7" s="29">
        <f>SUMIFS(Budget!$H$5:$H$90,Budget!$F$5:$F$90,$A7,Budget!$E$5:$E$90,$B7)</f>
        <v>306</v>
      </c>
      <c r="D7" s="4">
        <f>SUMIFS(Budget!$I$5:$I$90,Budget!$F$5:$F$90,$A7,Budget!$E$5:$E$90,$B7)</f>
        <v>30600000</v>
      </c>
      <c r="E7" s="29">
        <f>SUMIFS(Budget!$J$5:$J$90,Budget!$F$5:$F$90,$A7,Budget!$E$5:$E$90,$B7)</f>
        <v>313</v>
      </c>
      <c r="F7" s="4">
        <f>SUMIFS(Budget!$K$5:$K$90,Budget!$F$5:$F$90,$A7,Budget!$E$5:$E$90,$B7)</f>
        <v>32233000</v>
      </c>
      <c r="G7" s="29">
        <f>SUMIFS(Budget!$L$5:$L$90,Budget!$F$5:$F$90,$A7,Budget!$E$5:$E$90,$B7)</f>
        <v>321</v>
      </c>
      <c r="H7" s="30">
        <f>SUMIFS(Budget!$M$5:$M$90,Budget!$F$5:$F$90,$A7,Budget!$E$5:$E$90,$B7)</f>
        <v>33999990</v>
      </c>
    </row>
    <row r="8" spans="1:8">
      <c r="A8" s="28" t="s">
        <v>43</v>
      </c>
      <c r="B8" t="s">
        <v>52</v>
      </c>
      <c r="C8" s="29">
        <f>SUMIFS(Budget!$H$5:$H$90,Budget!$F$5:$F$90,$A8,Budget!$E$5:$E$90,$B8)</f>
        <v>0</v>
      </c>
      <c r="D8" s="4">
        <f>SUMIFS(Budget!$I$5:$I$90,Budget!$F$5:$F$90,$A8,Budget!$E$5:$E$90,$B8)</f>
        <v>1675000</v>
      </c>
      <c r="E8" s="29">
        <f>SUMIFS(Budget!$J$5:$J$90,Budget!$F$5:$F$90,$A8,Budget!$E$5:$E$90,$B8)</f>
        <v>0</v>
      </c>
      <c r="F8" s="4">
        <f>SUMIFS(Budget!$K$5:$K$90,Budget!$F$5:$F$90,$A8,Budget!$E$5:$E$90,$B8)</f>
        <v>1635000</v>
      </c>
      <c r="G8" s="29">
        <f>SUMIFS(Budget!$L$5:$L$90,Budget!$F$5:$F$90,$A8,Budget!$E$5:$E$90,$B8)</f>
        <v>0</v>
      </c>
      <c r="H8" s="30">
        <f>SUMIFS(Budget!$M$5:$M$90,Budget!$F$5:$F$90,$A8,Budget!$E$5:$E$90,$B8)</f>
        <v>1635000</v>
      </c>
    </row>
    <row r="9" spans="1:8">
      <c r="A9" s="28" t="s">
        <v>35</v>
      </c>
      <c r="B9" t="s">
        <v>26</v>
      </c>
      <c r="C9" s="29">
        <f>SUMIFS(Budget!$H$5:$H$90,Budget!$F$5:$F$90,$A9,Budget!$E$5:$E$90,$B9)</f>
        <v>0</v>
      </c>
      <c r="D9" s="4">
        <f>SUMIFS(Budget!$I$5:$I$90,Budget!$F$5:$F$90,$A9,Budget!$E$5:$E$90,$B9)</f>
        <v>5510000</v>
      </c>
      <c r="E9" s="29">
        <f>SUMIFS(Budget!$J$5:$J$90,Budget!$F$5:$F$90,$A9,Budget!$E$5:$E$90,$B9)</f>
        <v>0</v>
      </c>
      <c r="F9" s="4">
        <f>SUMIFS(Budget!$K$5:$K$90,Budget!$F$5:$F$90,$A9,Budget!$E$5:$E$90,$B9)</f>
        <v>5630000</v>
      </c>
      <c r="G9" s="29">
        <f>SUMIFS(Budget!$L$5:$L$90,Budget!$F$5:$F$90,$A9,Budget!$E$5:$E$90,$B9)</f>
        <v>0</v>
      </c>
      <c r="H9" s="30">
        <f>SUMIFS(Budget!$M$5:$M$90,Budget!$F$5:$F$90,$A9,Budget!$E$5:$E$90,$B9)</f>
        <v>5710000</v>
      </c>
    </row>
    <row r="10" spans="1:8">
      <c r="A10" s="28" t="s">
        <v>24</v>
      </c>
      <c r="B10" t="s">
        <v>26</v>
      </c>
      <c r="C10" s="29">
        <f>SUMIFS(Budget!$H$5:$H$90,Budget!$F$5:$F$90,$A10,Budget!$E$5:$E$90,$B10)</f>
        <v>0</v>
      </c>
      <c r="D10" s="4">
        <f>SUMIFS(Budget!$I$5:$I$90,Budget!$F$5:$F$90,$A10,Budget!$E$5:$E$90,$B10)</f>
        <v>240000</v>
      </c>
      <c r="E10" s="29">
        <f>SUMIFS(Budget!$J$5:$J$90,Budget!$F$5:$F$90,$A10,Budget!$E$5:$E$90,$B10)</f>
        <v>0</v>
      </c>
      <c r="F10" s="4">
        <f>SUMIFS(Budget!$K$5:$K$90,Budget!$F$5:$F$90,$A10,Budget!$E$5:$E$90,$B10)</f>
        <v>247200</v>
      </c>
      <c r="G10" s="29">
        <f>SUMIFS(Budget!$L$5:$L$90,Budget!$F$5:$F$90,$A10,Budget!$E$5:$E$90,$B10)</f>
        <v>0</v>
      </c>
      <c r="H10" s="30">
        <f>SUMIFS(Budget!$M$5:$M$90,Budget!$F$5:$F$90,$A10,Budget!$E$5:$E$90,$B10)</f>
        <v>254616</v>
      </c>
    </row>
    <row r="11" spans="1:8">
      <c r="A11" s="28" t="s">
        <v>24</v>
      </c>
      <c r="B11" t="s">
        <v>23</v>
      </c>
      <c r="C11" s="29">
        <f>SUMIFS(Budget!$H$5:$H$90,Budget!$F$5:$F$90,$A11,Budget!$E$5:$E$90,$B11)</f>
        <v>201</v>
      </c>
      <c r="D11" s="4">
        <f>SUMIFS(Budget!$I$5:$I$90,Budget!$F$5:$F$90,$A11,Budget!$E$5:$E$90,$B11)</f>
        <v>16272977</v>
      </c>
      <c r="E11" s="29">
        <f>SUMIFS(Budget!$J$5:$J$90,Budget!$F$5:$F$90,$A11,Budget!$E$5:$E$90,$B11)</f>
        <v>206</v>
      </c>
      <c r="F11" s="4">
        <f>SUMIFS(Budget!$K$5:$K$90,Budget!$F$5:$F$90,$A11,Budget!$E$5:$E$90,$B11)</f>
        <v>17276166.309999999</v>
      </c>
      <c r="G11" s="29">
        <f>SUMIFS(Budget!$L$5:$L$90,Budget!$F$5:$F$90,$A11,Budget!$E$5:$E$90,$B11)</f>
        <v>206</v>
      </c>
      <c r="H11" s="30">
        <f>SUMIFS(Budget!$M$5:$M$90,Budget!$F$5:$F$90,$A11,Budget!$E$5:$E$90,$B11)</f>
        <v>17794451.2993</v>
      </c>
    </row>
    <row r="12" spans="1:8">
      <c r="A12" s="28" t="s">
        <v>41</v>
      </c>
      <c r="B12" t="s">
        <v>40</v>
      </c>
      <c r="C12" s="29">
        <f>SUMIFS(Budget!$H$5:$H$90,Budget!$F$5:$F$90,$A12,Budget!$E$5:$E$90,$B12)</f>
        <v>24</v>
      </c>
      <c r="D12" s="4">
        <f>SUMIFS(Budget!$I$5:$I$90,Budget!$F$5:$F$90,$A12,Budget!$E$5:$E$90,$B12)</f>
        <v>4687000</v>
      </c>
      <c r="E12" s="29">
        <f>SUMIFS(Budget!$J$5:$J$90,Budget!$F$5:$F$90,$A12,Budget!$E$5:$E$90,$B12)</f>
        <v>24</v>
      </c>
      <c r="F12" s="4">
        <f>SUMIFS(Budget!$K$5:$K$90,Budget!$F$5:$F$90,$A12,Budget!$E$5:$E$90,$B12)</f>
        <v>4823710</v>
      </c>
      <c r="G12" s="29">
        <f>SUMIFS(Budget!$L$5:$L$90,Budget!$F$5:$F$90,$A12,Budget!$E$5:$E$90,$B12)</f>
        <v>24</v>
      </c>
      <c r="H12" s="30">
        <f>SUMIFS(Budget!$M$5:$M$90,Budget!$F$5:$F$90,$A12,Budget!$E$5:$E$90,$B12)</f>
        <v>4964521.3</v>
      </c>
    </row>
    <row r="13" spans="1:8">
      <c r="A13" s="28" t="s">
        <v>41</v>
      </c>
      <c r="B13" t="s">
        <v>52</v>
      </c>
      <c r="C13" s="29">
        <f>SUMIFS(Budget!$H$5:$H$90,Budget!$F$5:$F$90,$A13,Budget!$E$5:$E$90,$B13)</f>
        <v>0</v>
      </c>
      <c r="D13" s="4">
        <f>SUMIFS(Budget!$I$5:$I$90,Budget!$F$5:$F$90,$A13,Budget!$E$5:$E$90,$B13)</f>
        <v>50000</v>
      </c>
      <c r="E13" s="29">
        <f>SUMIFS(Budget!$J$5:$J$90,Budget!$F$5:$F$90,$A13,Budget!$E$5:$E$90,$B13)</f>
        <v>0</v>
      </c>
      <c r="F13" s="4">
        <f>SUMIFS(Budget!$K$5:$K$90,Budget!$F$5:$F$90,$A13,Budget!$E$5:$E$90,$B13)</f>
        <v>150000</v>
      </c>
      <c r="G13" s="29">
        <f>SUMIFS(Budget!$L$5:$L$90,Budget!$F$5:$F$90,$A13,Budget!$E$5:$E$90,$B13)</f>
        <v>0</v>
      </c>
      <c r="H13" s="30">
        <f>SUMIFS(Budget!$M$5:$M$90,Budget!$F$5:$F$90,$A13,Budget!$E$5:$E$90,$B13)</f>
        <v>250000</v>
      </c>
    </row>
    <row r="14" spans="1:8">
      <c r="A14" s="28" t="s">
        <v>29</v>
      </c>
      <c r="B14" t="s">
        <v>26</v>
      </c>
      <c r="C14" s="29">
        <f>SUMIFS(Budget!$H$5:$H$90,Budget!$F$5:$F$90,$A14,Budget!$E$5:$E$90,$B14)</f>
        <v>0</v>
      </c>
      <c r="D14" s="4">
        <f>SUMIFS(Budget!$I$5:$I$90,Budget!$F$5:$F$90,$A14,Budget!$E$5:$E$90,$B14)</f>
        <v>11000</v>
      </c>
      <c r="E14" s="29">
        <f>SUMIFS(Budget!$J$5:$J$90,Budget!$F$5:$F$90,$A14,Budget!$E$5:$E$90,$B14)</f>
        <v>0</v>
      </c>
      <c r="F14" s="4">
        <f>SUMIFS(Budget!$K$5:$K$90,Budget!$F$5:$F$90,$A14,Budget!$E$5:$E$90,$B14)</f>
        <v>11000</v>
      </c>
      <c r="G14" s="29">
        <f>SUMIFS(Budget!$L$5:$L$90,Budget!$F$5:$F$90,$A14,Budget!$E$5:$E$90,$B14)</f>
        <v>0</v>
      </c>
      <c r="H14" s="30">
        <f>SUMIFS(Budget!$M$5:$M$90,Budget!$F$5:$F$90,$A14,Budget!$E$5:$E$90,$B14)</f>
        <v>11000</v>
      </c>
    </row>
    <row r="15" spans="1:8">
      <c r="A15" s="28" t="s">
        <v>29</v>
      </c>
      <c r="B15" t="s">
        <v>28</v>
      </c>
      <c r="C15" s="29">
        <f>SUMIFS(Budget!$H$5:$H$90,Budget!$F$5:$F$90,$A15,Budget!$E$5:$E$90,$B15)</f>
        <v>0</v>
      </c>
      <c r="D15" s="4">
        <f>SUMIFS(Budget!$I$5:$I$90,Budget!$F$5:$F$90,$A15,Budget!$E$5:$E$90,$B15)</f>
        <v>680000</v>
      </c>
      <c r="E15" s="29">
        <f>SUMIFS(Budget!$J$5:$J$90,Budget!$F$5:$F$90,$A15,Budget!$E$5:$E$90,$B15)</f>
        <v>0</v>
      </c>
      <c r="F15" s="4">
        <f>SUMIFS(Budget!$K$5:$K$90,Budget!$F$5:$F$90,$A15,Budget!$E$5:$E$90,$B15)</f>
        <v>680000</v>
      </c>
      <c r="G15" s="29">
        <f>SUMIFS(Budget!$L$5:$L$90,Budget!$F$5:$F$90,$A15,Budget!$E$5:$E$90,$B15)</f>
        <v>0</v>
      </c>
      <c r="H15" s="30">
        <f>SUMIFS(Budget!$M$5:$M$90,Budget!$F$5:$F$90,$A15,Budget!$E$5:$E$90,$B15)</f>
        <v>780000</v>
      </c>
    </row>
    <row r="16" spans="1:8">
      <c r="A16" s="28" t="s">
        <v>33</v>
      </c>
      <c r="B16" t="s">
        <v>88</v>
      </c>
      <c r="C16" s="29">
        <f>SUMIFS(Budget!$H$5:$H$90,Budget!$F$5:$F$90,$A16,Budget!$E$5:$E$90,$B16)</f>
        <v>0</v>
      </c>
      <c r="D16" s="4">
        <f>SUMIFS(Budget!$I$5:$I$90,Budget!$F$5:$F$90,$A16,Budget!$E$5:$E$90,$B16)</f>
        <v>30000</v>
      </c>
      <c r="E16" s="29">
        <f>SUMIFS(Budget!$J$5:$J$90,Budget!$F$5:$F$90,$A16,Budget!$E$5:$E$90,$B16)</f>
        <v>0</v>
      </c>
      <c r="F16" s="4">
        <f>SUMIFS(Budget!$K$5:$K$90,Budget!$F$5:$F$90,$A16,Budget!$E$5:$E$90,$B16)</f>
        <v>50000</v>
      </c>
      <c r="G16" s="29">
        <f>SUMIFS(Budget!$L$5:$L$90,Budget!$F$5:$F$90,$A16,Budget!$E$5:$E$90,$B16)</f>
        <v>0</v>
      </c>
      <c r="H16" s="30">
        <f>SUMIFS(Budget!$M$5:$M$90,Budget!$F$5:$F$90,$A16,Budget!$E$5:$E$90,$B16)</f>
        <v>50000</v>
      </c>
    </row>
    <row r="17" spans="1:8">
      <c r="A17" s="28" t="s">
        <v>33</v>
      </c>
      <c r="B17" t="s">
        <v>28</v>
      </c>
      <c r="C17" s="29">
        <f>SUMIFS(Budget!$H$5:$H$90,Budget!$F$5:$F$90,$A17,Budget!$E$5:$E$90,$B17)</f>
        <v>0</v>
      </c>
      <c r="D17" s="4">
        <f>SUMIFS(Budget!$I$5:$I$90,Budget!$F$5:$F$90,$A17,Budget!$E$5:$E$90,$B17)</f>
        <v>6900000</v>
      </c>
      <c r="E17" s="29">
        <f>SUMIFS(Budget!$J$5:$J$90,Budget!$F$5:$F$90,$A17,Budget!$E$5:$E$90,$B17)</f>
        <v>0</v>
      </c>
      <c r="F17" s="4">
        <f>SUMIFS(Budget!$K$5:$K$90,Budget!$F$5:$F$90,$A17,Budget!$E$5:$E$90,$B17)</f>
        <v>0</v>
      </c>
      <c r="G17" s="29">
        <f>SUMIFS(Budget!$L$5:$L$90,Budget!$F$5:$F$90,$A17,Budget!$E$5:$E$90,$B17)</f>
        <v>0</v>
      </c>
      <c r="H17" s="30">
        <f>SUMIFS(Budget!$M$5:$M$90,Budget!$F$5:$F$90,$A17,Budget!$E$5:$E$90,$B17)</f>
        <v>1000000</v>
      </c>
    </row>
    <row r="18" spans="1:8">
      <c r="A18" s="28" t="s">
        <v>78</v>
      </c>
      <c r="B18" t="s">
        <v>26</v>
      </c>
      <c r="C18" s="29">
        <f>SUMIFS(Budget!$H$5:$H$90,Budget!$F$5:$F$90,$A18,Budget!$E$5:$E$90,$B18)</f>
        <v>0</v>
      </c>
      <c r="D18" s="4">
        <f>SUMIFS(Budget!$I$5:$I$90,Budget!$F$5:$F$90,$A18,Budget!$E$5:$E$90,$B18)</f>
        <v>10000</v>
      </c>
      <c r="E18" s="29">
        <f>SUMIFS(Budget!$J$5:$J$90,Budget!$F$5:$F$90,$A18,Budget!$E$5:$E$90,$B18)</f>
        <v>0</v>
      </c>
      <c r="F18" s="4">
        <f>SUMIFS(Budget!$K$5:$K$90,Budget!$F$5:$F$90,$A18,Budget!$E$5:$E$90,$B18)</f>
        <v>10000</v>
      </c>
      <c r="G18" s="29">
        <f>SUMIFS(Budget!$L$5:$L$90,Budget!$F$5:$F$90,$A18,Budget!$E$5:$E$90,$B18)</f>
        <v>0</v>
      </c>
      <c r="H18" s="30">
        <f>SUMIFS(Budget!$M$5:$M$90,Budget!$F$5:$F$90,$A18,Budget!$E$5:$E$90,$B18)</f>
        <v>10000</v>
      </c>
    </row>
    <row r="19" spans="1:8">
      <c r="A19" s="28" t="s">
        <v>78</v>
      </c>
      <c r="B19" t="s">
        <v>96</v>
      </c>
      <c r="C19" s="29">
        <f>SUMIFS(Budget!$H$5:$H$90,Budget!$F$5:$F$90,$A19,Budget!$E$5:$E$90,$B19)</f>
        <v>0</v>
      </c>
      <c r="D19" s="4">
        <f>SUMIFS(Budget!$I$5:$I$90,Budget!$F$5:$F$90,$A19,Budget!$E$5:$E$90,$B19)</f>
        <v>0</v>
      </c>
      <c r="E19" s="29">
        <f>SUMIFS(Budget!$J$5:$J$90,Budget!$F$5:$F$90,$A19,Budget!$E$5:$E$90,$B19)</f>
        <v>0</v>
      </c>
      <c r="F19" s="4">
        <f>SUMIFS(Budget!$K$5:$K$90,Budget!$F$5:$F$90,$A19,Budget!$E$5:$E$90,$B19)</f>
        <v>0</v>
      </c>
      <c r="G19" s="29">
        <f>SUMIFS(Budget!$L$5:$L$90,Budget!$F$5:$F$90,$A19,Budget!$E$5:$E$90,$B19)</f>
        <v>8</v>
      </c>
      <c r="H19" s="30">
        <f>SUMIFS(Budget!$M$5:$M$90,Budget!$F$5:$F$90,$A19,Budget!$E$5:$E$90,$B19)</f>
        <v>32000</v>
      </c>
    </row>
    <row r="20" spans="1:8">
      <c r="A20" s="28" t="s">
        <v>78</v>
      </c>
      <c r="B20" t="s">
        <v>23</v>
      </c>
      <c r="C20" s="29">
        <f>SUMIFS(Budget!$H$5:$H$90,Budget!$F$5:$F$90,$A20,Budget!$E$5:$E$90,$B20)</f>
        <v>4</v>
      </c>
      <c r="D20" s="4">
        <f>SUMIFS(Budget!$I$5:$I$90,Budget!$F$5:$F$90,$A20,Budget!$E$5:$E$90,$B20)</f>
        <v>400000</v>
      </c>
      <c r="E20" s="29">
        <f>SUMIFS(Budget!$J$5:$J$90,Budget!$F$5:$F$90,$A20,Budget!$E$5:$E$90,$B20)</f>
        <v>5</v>
      </c>
      <c r="F20" s="4">
        <f>SUMIFS(Budget!$K$5:$K$90,Budget!$F$5:$F$90,$A20,Budget!$E$5:$E$90,$B20)</f>
        <v>515000</v>
      </c>
      <c r="G20" s="29">
        <f>SUMIFS(Budget!$L$5:$L$90,Budget!$F$5:$F$90,$A20,Budget!$E$5:$E$90,$B20)</f>
        <v>5</v>
      </c>
      <c r="H20" s="30">
        <f>SUMIFS(Budget!$M$5:$M$90,Budget!$F$5:$F$90,$A20,Budget!$E$5:$E$90,$B20)</f>
        <v>530450</v>
      </c>
    </row>
    <row r="21" spans="1:8">
      <c r="A21" s="28" t="s">
        <v>31</v>
      </c>
      <c r="B21" t="s">
        <v>26</v>
      </c>
      <c r="C21" s="29">
        <f>SUMIFS(Budget!$H$5:$H$90,Budget!$F$5:$F$90,$A21,Budget!$E$5:$E$90,$B21)</f>
        <v>0</v>
      </c>
      <c r="D21" s="4">
        <f>SUMIFS(Budget!$I$5:$I$90,Budget!$F$5:$F$90,$A21,Budget!$E$5:$E$90,$B21)</f>
        <v>590000</v>
      </c>
      <c r="E21" s="29">
        <f>SUMIFS(Budget!$J$5:$J$90,Budget!$F$5:$F$90,$A21,Budget!$E$5:$E$90,$B21)</f>
        <v>0</v>
      </c>
      <c r="F21" s="4">
        <f>SUMIFS(Budget!$K$5:$K$90,Budget!$F$5:$F$90,$A21,Budget!$E$5:$E$90,$B21)</f>
        <v>600500</v>
      </c>
      <c r="G21" s="29">
        <f>SUMIFS(Budget!$L$5:$L$90,Budget!$F$5:$F$90,$A21,Budget!$E$5:$E$90,$B21)</f>
        <v>0</v>
      </c>
      <c r="H21" s="30">
        <f>SUMIFS(Budget!$M$5:$M$90,Budget!$F$5:$F$90,$A21,Budget!$E$5:$E$90,$B21)</f>
        <v>611315</v>
      </c>
    </row>
    <row r="22" spans="1:8">
      <c r="A22" s="28" t="s">
        <v>49</v>
      </c>
      <c r="B22" t="s">
        <v>23</v>
      </c>
      <c r="C22" s="29">
        <f>SUMIFS(Budget!$H$5:$H$90,Budget!$F$5:$F$90,$A22,Budget!$E$5:$E$90,$B22)</f>
        <v>12</v>
      </c>
      <c r="D22" s="4">
        <f>SUMIFS(Budget!$I$5:$I$90,Budget!$F$5:$F$90,$A22,Budget!$E$5:$E$90,$B22)</f>
        <v>720000</v>
      </c>
      <c r="E22" s="29">
        <f>SUMIFS(Budget!$J$5:$J$90,Budget!$F$5:$F$90,$A22,Budget!$E$5:$E$90,$B22)</f>
        <v>12</v>
      </c>
      <c r="F22" s="4">
        <f>SUMIFS(Budget!$K$5:$K$90,Budget!$F$5:$F$90,$A22,Budget!$E$5:$E$90,$B22)</f>
        <v>741600</v>
      </c>
      <c r="G22" s="29">
        <f>SUMIFS(Budget!$L$5:$L$90,Budget!$F$5:$F$90,$A22,Budget!$E$5:$E$90,$B22)</f>
        <v>12</v>
      </c>
      <c r="H22" s="30">
        <f>SUMIFS(Budget!$M$5:$M$90,Budget!$F$5:$F$90,$A22,Budget!$E$5:$E$90,$B22)</f>
        <v>763848</v>
      </c>
    </row>
    <row r="23" spans="1:8" ht="12.95">
      <c r="A23" s="31" t="s">
        <v>130</v>
      </c>
      <c r="B23" s="32"/>
      <c r="C23" s="33">
        <f t="shared" ref="C23:H23" si="0">SUM(C4:C22)</f>
        <v>551</v>
      </c>
      <c r="D23" s="34">
        <f t="shared" si="0"/>
        <v>68905977</v>
      </c>
      <c r="E23" s="33">
        <f t="shared" si="0"/>
        <v>564</v>
      </c>
      <c r="F23" s="34">
        <f t="shared" si="0"/>
        <v>65143976.310000002</v>
      </c>
      <c r="G23" s="33">
        <f t="shared" si="0"/>
        <v>580</v>
      </c>
      <c r="H23" s="35">
        <f t="shared" si="0"/>
        <v>68949115.599299997</v>
      </c>
    </row>
    <row r="26" spans="1:8" ht="15.6">
      <c r="A26" s="113" t="s">
        <v>131</v>
      </c>
      <c r="B26" s="113"/>
      <c r="C26" s="113"/>
      <c r="D26" s="113"/>
      <c r="E26" s="113"/>
      <c r="F26" s="113"/>
      <c r="G26" s="113"/>
      <c r="H26" s="113"/>
    </row>
    <row r="27" spans="1:8" ht="13.5" customHeight="1">
      <c r="A27" s="23"/>
      <c r="B27" s="24"/>
      <c r="C27" s="110" t="s">
        <v>10</v>
      </c>
      <c r="D27" s="110"/>
      <c r="E27" s="111" t="s">
        <v>11</v>
      </c>
      <c r="F27" s="111"/>
      <c r="G27" s="112" t="s">
        <v>12</v>
      </c>
      <c r="H27" s="112"/>
    </row>
    <row r="28" spans="1:8" ht="12.95">
      <c r="A28" s="25" t="s">
        <v>15</v>
      </c>
      <c r="B28" s="26" t="s">
        <v>6</v>
      </c>
      <c r="C28" s="26" t="s">
        <v>18</v>
      </c>
      <c r="D28" s="26" t="s">
        <v>129</v>
      </c>
      <c r="E28" s="26" t="s">
        <v>18</v>
      </c>
      <c r="F28" s="26" t="s">
        <v>129</v>
      </c>
      <c r="G28" s="26" t="s">
        <v>18</v>
      </c>
      <c r="H28" s="27" t="s">
        <v>129</v>
      </c>
    </row>
    <row r="29" spans="1:8">
      <c r="A29" s="28" t="s">
        <v>93</v>
      </c>
      <c r="B29" t="s">
        <v>132</v>
      </c>
      <c r="C29" s="29">
        <f>SUMIFS(Budget!$H$5:$H$90,Budget!$Q$5:$Q$90,$A29,Budget!$R$5:$R$90,$B29)</f>
        <v>4</v>
      </c>
      <c r="D29" s="4">
        <f>SUMIFS(Budget!$I$5:$I$90,Budget!$Q$5:$Q$90,$A29,Budget!$R$5:$R$90,$B29)</f>
        <v>490000</v>
      </c>
      <c r="E29" s="29">
        <f>SUMIFS(Budget!$J$5:$J$90,Budget!$Q$5:$Q$90,$A29,Budget!$R$5:$R$90,$B29)</f>
        <v>4</v>
      </c>
      <c r="F29" s="4">
        <f>SUMIFS(Budget!$K$5:$K$90,Budget!$Q$5:$Q$90,$A29,Budget!$R$5:$R$90,$B29)</f>
        <v>500800</v>
      </c>
      <c r="G29" s="29">
        <f>SUMIFS(Budget!$L$5:$L$90,Budget!$Q$5:$Q$90,$A29,Budget!$R$5:$R$90,$B29)</f>
        <v>4</v>
      </c>
      <c r="H29" s="30">
        <f>SUMIFS(Budget!$M$5:$M$90,Budget!$Q$5:$Q$90,$A29,Budget!$R$5:$R$90,$B29)</f>
        <v>511924</v>
      </c>
    </row>
    <row r="30" spans="1:8">
      <c r="A30" s="28" t="s">
        <v>93</v>
      </c>
      <c r="B30" t="s">
        <v>133</v>
      </c>
      <c r="C30" s="29">
        <f>SUMIFS(Budget!$H$5:$H$90,Budget!$Q$5:$Q$90,$A30,Budget!$R$5:$R$90,$B30)</f>
        <v>0</v>
      </c>
      <c r="D30" s="4">
        <f>SUMIFS(Budget!$I$5:$I$90,Budget!$Q$5:$Q$90,$A30,Budget!$R$5:$R$90,$B30)</f>
        <v>0</v>
      </c>
      <c r="E30" s="29">
        <f>SUMIFS(Budget!$J$5:$J$90,Budget!$Q$5:$Q$90,$A30,Budget!$R$5:$R$90,$B30)</f>
        <v>0</v>
      </c>
      <c r="F30" s="4">
        <f>SUMIFS(Budget!$K$5:$K$90,Budget!$Q$5:$Q$90,$A30,Budget!$R$5:$R$90,$B30)</f>
        <v>0</v>
      </c>
      <c r="G30" s="29">
        <f>SUMIFS(Budget!$L$5:$L$90,Budget!$Q$5:$Q$90,$A30,Budget!$R$5:$R$90,$B30)</f>
        <v>0</v>
      </c>
      <c r="H30" s="30">
        <f>SUMIFS(Budget!$M$5:$M$90,Budget!$Q$5:$Q$90,$A30,Budget!$R$5:$R$90,$B30)</f>
        <v>0</v>
      </c>
    </row>
    <row r="31" spans="1:8">
      <c r="A31" s="28" t="s">
        <v>35</v>
      </c>
      <c r="B31" t="s">
        <v>133</v>
      </c>
      <c r="C31" s="29">
        <f>SUMIFS(Budget!$H$5:$H$90,Budget!$Q$5:$Q$90,$A31,Budget!$R$5:$R$90,$B31)</f>
        <v>0</v>
      </c>
      <c r="D31" s="4">
        <f>SUMIFS(Budget!$I$5:$I$90,Budget!$Q$5:$Q$90,$A31,Budget!$R$5:$R$90,$B31)</f>
        <v>5510000</v>
      </c>
      <c r="E31" s="29">
        <f>SUMIFS(Budget!$J$5:$J$90,Budget!$Q$5:$Q$90,$A31,Budget!$R$5:$R$90,$B31)</f>
        <v>0</v>
      </c>
      <c r="F31" s="4">
        <f>SUMIFS(Budget!$K$5:$K$90,Budget!$Q$5:$Q$90,$A31,Budget!$R$5:$R$90,$B31)</f>
        <v>5630000</v>
      </c>
      <c r="G31" s="29">
        <f>SUMIFS(Budget!$L$5:$L$90,Budget!$Q$5:$Q$90,$A31,Budget!$R$5:$R$90,$B31)</f>
        <v>0</v>
      </c>
      <c r="H31" s="30">
        <f>SUMIFS(Budget!$M$5:$M$90,Budget!$Q$5:$Q$90,$A31,Budget!$R$5:$R$90,$B31)</f>
        <v>5710000</v>
      </c>
    </row>
    <row r="32" spans="1:8">
      <c r="A32" s="28" t="s">
        <v>134</v>
      </c>
      <c r="B32" t="s">
        <v>132</v>
      </c>
      <c r="C32" s="29">
        <f>SUMIFS(Budget!$H$5:$H$90,Budget!$Q$5:$Q$90,$A32,Budget!$R$5:$R$90,$B32)</f>
        <v>201</v>
      </c>
      <c r="D32" s="4">
        <f>SUMIFS(Budget!$I$5:$I$90,Budget!$Q$5:$Q$90,$A32,Budget!$R$5:$R$90,$B32)</f>
        <v>16272977</v>
      </c>
      <c r="E32" s="29">
        <f>SUMIFS(Budget!$J$5:$J$90,Budget!$Q$5:$Q$90,$A32,Budget!$R$5:$R$90,$B32)</f>
        <v>206</v>
      </c>
      <c r="F32" s="4">
        <f>SUMIFS(Budget!$K$5:$K$90,Budget!$Q$5:$Q$90,$A32,Budget!$R$5:$R$90,$B32)</f>
        <v>17276166.309999999</v>
      </c>
      <c r="G32" s="29">
        <f>SUMIFS(Budget!$L$5:$L$90,Budget!$Q$5:$Q$90,$A32,Budget!$R$5:$R$90,$B32)</f>
        <v>206</v>
      </c>
      <c r="H32" s="30">
        <f>SUMIFS(Budget!$M$5:$M$90,Budget!$Q$5:$Q$90,$A32,Budget!$R$5:$R$90,$B32)</f>
        <v>17794451.2993</v>
      </c>
    </row>
    <row r="33" spans="1:8">
      <c r="A33" s="28" t="s">
        <v>134</v>
      </c>
      <c r="B33" t="s">
        <v>133</v>
      </c>
      <c r="C33" s="29">
        <f>SUMIFS(Budget!$H$5:$H$90,Budget!$Q$5:$Q$90,$A33,Budget!$R$5:$R$90,$B33)</f>
        <v>0</v>
      </c>
      <c r="D33" s="4">
        <f>SUMIFS(Budget!$I$5:$I$90,Budget!$Q$5:$Q$90,$A33,Budget!$R$5:$R$90,$B33)</f>
        <v>240000</v>
      </c>
      <c r="E33" s="29">
        <f>SUMIFS(Budget!$J$5:$J$90,Budget!$Q$5:$Q$90,$A33,Budget!$R$5:$R$90,$B33)</f>
        <v>0</v>
      </c>
      <c r="F33" s="4">
        <f>SUMIFS(Budget!$K$5:$K$90,Budget!$Q$5:$Q$90,$A33,Budget!$R$5:$R$90,$B33)</f>
        <v>247200</v>
      </c>
      <c r="G33" s="29">
        <f>SUMIFS(Budget!$L$5:$L$90,Budget!$Q$5:$Q$90,$A33,Budget!$R$5:$R$90,$B33)</f>
        <v>0</v>
      </c>
      <c r="H33" s="30">
        <f>SUMIFS(Budget!$M$5:$M$90,Budget!$Q$5:$Q$90,$A33,Budget!$R$5:$R$90,$B33)</f>
        <v>254616</v>
      </c>
    </row>
    <row r="34" spans="1:8">
      <c r="A34" s="28" t="s">
        <v>135</v>
      </c>
      <c r="B34" t="s">
        <v>132</v>
      </c>
      <c r="C34" s="29">
        <f>SUMIFS(Budget!$H$5:$H$90,Budget!$Q$5:$Q$90,$A34,Budget!$R$5:$R$90,$B34)</f>
        <v>24</v>
      </c>
      <c r="D34" s="4">
        <f>SUMIFS(Budget!$I$5:$I$90,Budget!$Q$5:$Q$90,$A34,Budget!$R$5:$R$90,$B34)</f>
        <v>4737000</v>
      </c>
      <c r="E34" s="29">
        <f>SUMIFS(Budget!$J$5:$J$90,Budget!$Q$5:$Q$90,$A34,Budget!$R$5:$R$90,$B34)</f>
        <v>24</v>
      </c>
      <c r="F34" s="4">
        <f>SUMIFS(Budget!$K$5:$K$90,Budget!$Q$5:$Q$90,$A34,Budget!$R$5:$R$90,$B34)</f>
        <v>4973710</v>
      </c>
      <c r="G34" s="29">
        <f>SUMIFS(Budget!$L$5:$L$90,Budget!$Q$5:$Q$90,$A34,Budget!$R$5:$R$90,$B34)</f>
        <v>24</v>
      </c>
      <c r="H34" s="30">
        <f>SUMIFS(Budget!$M$5:$M$90,Budget!$Q$5:$Q$90,$A34,Budget!$R$5:$R$90,$B34)</f>
        <v>5214521.3</v>
      </c>
    </row>
    <row r="35" spans="1:8">
      <c r="A35" s="28" t="s">
        <v>136</v>
      </c>
      <c r="B35" t="s">
        <v>137</v>
      </c>
      <c r="C35" s="29">
        <f>SUMIFS(Budget!$H$5:$H$90,Budget!$Q$5:$Q$90,$A35,Budget!$R$5:$R$90,$B35)</f>
        <v>0</v>
      </c>
      <c r="D35" s="4">
        <f>SUMIFS(Budget!$I$5:$I$90,Budget!$Q$5:$Q$90,$A35,Budget!$R$5:$R$90,$B35)</f>
        <v>680000</v>
      </c>
      <c r="E35" s="29">
        <f>SUMIFS(Budget!$J$5:$J$90,Budget!$Q$5:$Q$90,$A35,Budget!$R$5:$R$90,$B35)</f>
        <v>0</v>
      </c>
      <c r="F35" s="4">
        <f>SUMIFS(Budget!$K$5:$K$90,Budget!$Q$5:$Q$90,$A35,Budget!$R$5:$R$90,$B35)</f>
        <v>680000</v>
      </c>
      <c r="G35" s="29">
        <f>SUMIFS(Budget!$L$5:$L$90,Budget!$Q$5:$Q$90,$A35,Budget!$R$5:$R$90,$B35)</f>
        <v>0</v>
      </c>
      <c r="H35" s="30">
        <f>SUMIFS(Budget!$M$5:$M$90,Budget!$Q$5:$Q$90,$A35,Budget!$R$5:$R$90,$B35)</f>
        <v>780000</v>
      </c>
    </row>
    <row r="36" spans="1:8">
      <c r="A36" s="28" t="s">
        <v>136</v>
      </c>
      <c r="B36" t="s">
        <v>138</v>
      </c>
      <c r="C36" s="29">
        <f>SUMIFS(Budget!$H$5:$H$90,Budget!$Q$5:$Q$90,$A36,Budget!$R$5:$R$90,$B36)</f>
        <v>0</v>
      </c>
      <c r="D36" s="4">
        <f>SUMIFS(Budget!$I$5:$I$90,Budget!$Q$5:$Q$90,$A36,Budget!$R$5:$R$90,$B36)</f>
        <v>11000</v>
      </c>
      <c r="E36" s="29">
        <f>SUMIFS(Budget!$J$5:$J$90,Budget!$Q$5:$Q$90,$A36,Budget!$R$5:$R$90,$B36)</f>
        <v>0</v>
      </c>
      <c r="F36" s="4">
        <f>SUMIFS(Budget!$K$5:$K$90,Budget!$Q$5:$Q$90,$A36,Budget!$R$5:$R$90,$B36)</f>
        <v>11000</v>
      </c>
      <c r="G36" s="29">
        <f>SUMIFS(Budget!$L$5:$L$90,Budget!$Q$5:$Q$90,$A36,Budget!$R$5:$R$90,$B36)</f>
        <v>0</v>
      </c>
      <c r="H36" s="30">
        <f>SUMIFS(Budget!$M$5:$M$90,Budget!$Q$5:$Q$90,$A36,Budget!$R$5:$R$90,$B36)</f>
        <v>11000</v>
      </c>
    </row>
    <row r="37" spans="1:8">
      <c r="A37" s="28" t="s">
        <v>139</v>
      </c>
      <c r="B37" t="s">
        <v>137</v>
      </c>
      <c r="C37" s="29">
        <f>SUMIFS(Budget!$H$5:$H$90,Budget!$Q$5:$Q$90,$A37,Budget!$R$5:$R$90,$B37)</f>
        <v>0</v>
      </c>
      <c r="D37" s="4">
        <f>SUMIFS(Budget!$I$5:$I$90,Budget!$Q$5:$Q$90,$A37,Budget!$R$5:$R$90,$B37)</f>
        <v>6900000</v>
      </c>
      <c r="E37" s="29">
        <f>SUMIFS(Budget!$J$5:$J$90,Budget!$Q$5:$Q$90,$A37,Budget!$R$5:$R$90,$B37)</f>
        <v>0</v>
      </c>
      <c r="F37" s="4">
        <f>SUMIFS(Budget!$K$5:$K$90,Budget!$Q$5:$Q$90,$A37,Budget!$R$5:$R$90,$B37)</f>
        <v>0</v>
      </c>
      <c r="G37" s="29">
        <f>SUMIFS(Budget!$L$5:$L$90,Budget!$Q$5:$Q$90,$A37,Budget!$R$5:$R$90,$B37)</f>
        <v>0</v>
      </c>
      <c r="H37" s="30">
        <f>SUMIFS(Budget!$M$5:$M$90,Budget!$Q$5:$Q$90,$A37,Budget!$R$5:$R$90,$B37)</f>
        <v>1000000</v>
      </c>
    </row>
    <row r="38" spans="1:8">
      <c r="A38" s="28" t="s">
        <v>139</v>
      </c>
      <c r="B38" t="s">
        <v>138</v>
      </c>
      <c r="C38" s="29">
        <f>SUMIFS(Budget!$H$5:$H$90,Budget!$Q$5:$Q$90,$A38,Budget!$R$5:$R$90,$B38)</f>
        <v>0</v>
      </c>
      <c r="D38" s="4">
        <f>SUMIFS(Budget!$I$5:$I$90,Budget!$Q$5:$Q$90,$A38,Budget!$R$5:$R$90,$B38)</f>
        <v>30000</v>
      </c>
      <c r="E38" s="29">
        <f>SUMIFS(Budget!$J$5:$J$90,Budget!$Q$5:$Q$90,$A38,Budget!$R$5:$R$90,$B38)</f>
        <v>0</v>
      </c>
      <c r="F38" s="4">
        <f>SUMIFS(Budget!$K$5:$K$90,Budget!$Q$5:$Q$90,$A38,Budget!$R$5:$R$90,$B38)</f>
        <v>50000</v>
      </c>
      <c r="G38" s="29">
        <f>SUMIFS(Budget!$L$5:$L$90,Budget!$Q$5:$Q$90,$A38,Budget!$R$5:$R$90,$B38)</f>
        <v>0</v>
      </c>
      <c r="H38" s="30">
        <f>SUMIFS(Budget!$M$5:$M$90,Budget!$Q$5:$Q$90,$A38,Budget!$R$5:$R$90,$B38)</f>
        <v>50000</v>
      </c>
    </row>
    <row r="39" spans="1:8">
      <c r="A39" s="28" t="s">
        <v>78</v>
      </c>
      <c r="B39" t="s">
        <v>140</v>
      </c>
      <c r="C39" s="29">
        <f>SUMIFS(Budget!$H$5:$H$90,Budget!$Q$5:$Q$90,$A39,Budget!$R$5:$R$90,$B39)</f>
        <v>0</v>
      </c>
      <c r="D39" s="4">
        <f>SUMIFS(Budget!$I$5:$I$90,Budget!$Q$5:$Q$90,$A39,Budget!$R$5:$R$90,$B39)</f>
        <v>0</v>
      </c>
      <c r="E39" s="29">
        <f>SUMIFS(Budget!$J$5:$J$90,Budget!$Q$5:$Q$90,$A39,Budget!$R$5:$R$90,$B39)</f>
        <v>0</v>
      </c>
      <c r="F39" s="4">
        <f>SUMIFS(Budget!$K$5:$K$90,Budget!$Q$5:$Q$90,$A39,Budget!$R$5:$R$90,$B39)</f>
        <v>0</v>
      </c>
      <c r="G39" s="29">
        <f>SUMIFS(Budget!$L$5:$L$90,Budget!$Q$5:$Q$90,$A39,Budget!$R$5:$R$90,$B39)</f>
        <v>8</v>
      </c>
      <c r="H39" s="30">
        <f>SUMIFS(Budget!$M$5:$M$90,Budget!$Q$5:$Q$90,$A39,Budget!$R$5:$R$90,$B39)</f>
        <v>32000</v>
      </c>
    </row>
    <row r="40" spans="1:8">
      <c r="A40" s="28" t="s">
        <v>78</v>
      </c>
      <c r="B40" t="s">
        <v>141</v>
      </c>
      <c r="C40" s="29">
        <f>SUMIFS(Budget!$H$5:$H$90,Budget!$Q$5:$Q$90,$A40,Budget!$R$5:$R$90,$B40)</f>
        <v>4</v>
      </c>
      <c r="D40" s="4">
        <f>SUMIFS(Budget!$I$5:$I$90,Budget!$Q$5:$Q$90,$A40,Budget!$R$5:$R$90,$B40)</f>
        <v>400000</v>
      </c>
      <c r="E40" s="29">
        <f>SUMIFS(Budget!$J$5:$J$90,Budget!$Q$5:$Q$90,$A40,Budget!$R$5:$R$90,$B40)</f>
        <v>5</v>
      </c>
      <c r="F40" s="4">
        <f>SUMIFS(Budget!$K$5:$K$90,Budget!$Q$5:$Q$90,$A40,Budget!$R$5:$R$90,$B40)</f>
        <v>515000</v>
      </c>
      <c r="G40" s="29">
        <f>SUMIFS(Budget!$L$5:$L$90,Budget!$Q$5:$Q$90,$A40,Budget!$R$5:$R$90,$B40)</f>
        <v>5</v>
      </c>
      <c r="H40" s="30">
        <f>SUMIFS(Budget!$M$5:$M$90,Budget!$Q$5:$Q$90,$A40,Budget!$R$5:$R$90,$B40)</f>
        <v>530450</v>
      </c>
    </row>
    <row r="41" spans="1:8">
      <c r="A41" s="28" t="s">
        <v>78</v>
      </c>
      <c r="B41" t="s">
        <v>133</v>
      </c>
      <c r="C41" s="29">
        <f>SUMIFS(Budget!$H$5:$H$90,Budget!$Q$5:$Q$90,$A41,Budget!$R$5:$R$90,$B41)</f>
        <v>0</v>
      </c>
      <c r="D41" s="4">
        <f>SUMIFS(Budget!$I$5:$I$90,Budget!$Q$5:$Q$90,$A41,Budget!$R$5:$R$90,$B41)</f>
        <v>10000</v>
      </c>
      <c r="E41" s="29">
        <f>SUMIFS(Budget!$J$5:$J$90,Budget!$Q$5:$Q$90,$A41,Budget!$R$5:$R$90,$B41)</f>
        <v>0</v>
      </c>
      <c r="F41" s="4">
        <f>SUMIFS(Budget!$K$5:$K$90,Budget!$Q$5:$Q$90,$A41,Budget!$R$5:$R$90,$B41)</f>
        <v>10000</v>
      </c>
      <c r="G41" s="29">
        <f>SUMIFS(Budget!$L$5:$L$90,Budget!$Q$5:$Q$90,$A41,Budget!$R$5:$R$90,$B41)</f>
        <v>0</v>
      </c>
      <c r="H41" s="30">
        <f>SUMIFS(Budget!$M$5:$M$90,Budget!$Q$5:$Q$90,$A41,Budget!$R$5:$R$90,$B41)</f>
        <v>10000</v>
      </c>
    </row>
    <row r="42" spans="1:8">
      <c r="A42" s="28" t="s">
        <v>31</v>
      </c>
      <c r="B42" t="s">
        <v>133</v>
      </c>
      <c r="C42" s="29">
        <f>SUMIFS(Budget!$H$5:$H$90,Budget!$Q$5:$Q$90,$A42,Budget!$R$5:$R$90,$B42)</f>
        <v>0</v>
      </c>
      <c r="D42" s="4">
        <f>SUMIFS(Budget!$I$5:$I$90,Budget!$Q$5:$Q$90,$A42,Budget!$R$5:$R$90,$B42)</f>
        <v>590000</v>
      </c>
      <c r="E42" s="29">
        <f>SUMIFS(Budget!$J$5:$J$90,Budget!$Q$5:$Q$90,$A42,Budget!$R$5:$R$90,$B42)</f>
        <v>0</v>
      </c>
      <c r="F42" s="4">
        <f>SUMIFS(Budget!$K$5:$K$90,Budget!$Q$5:$Q$90,$A42,Budget!$R$5:$R$90,$B42)</f>
        <v>600500</v>
      </c>
      <c r="G42" s="29">
        <f>SUMIFS(Budget!$L$5:$L$90,Budget!$Q$5:$Q$90,$A42,Budget!$R$5:$R$90,$B42)</f>
        <v>0</v>
      </c>
      <c r="H42" s="30">
        <f>SUMIFS(Budget!$M$5:$M$90,Budget!$Q$5:$Q$90,$A42,Budget!$R$5:$R$90,$B42)</f>
        <v>611315</v>
      </c>
    </row>
    <row r="43" spans="1:8">
      <c r="A43" s="28" t="s">
        <v>49</v>
      </c>
      <c r="B43" t="s">
        <v>141</v>
      </c>
      <c r="C43" s="29">
        <f>SUMIFS(Budget!$H$5:$H$90,Budget!$Q$5:$Q$90,$A43,Budget!$R$5:$R$90,$B43)</f>
        <v>12</v>
      </c>
      <c r="D43" s="4">
        <f>SUMIFS(Budget!$I$5:$I$90,Budget!$Q$5:$Q$90,$A43,Budget!$R$5:$R$90,$B43)</f>
        <v>720000</v>
      </c>
      <c r="E43" s="29">
        <f>SUMIFS(Budget!$J$5:$J$90,Budget!$Q$5:$Q$90,$A43,Budget!$R$5:$R$90,$B43)</f>
        <v>12</v>
      </c>
      <c r="F43" s="4">
        <f>SUMIFS(Budget!$K$5:$K$90,Budget!$Q$5:$Q$90,$A43,Budget!$R$5:$R$90,$B43)</f>
        <v>741600</v>
      </c>
      <c r="G43" s="29">
        <f>SUMIFS(Budget!$L$5:$L$90,Budget!$Q$5:$Q$90,$A43,Budget!$R$5:$R$90,$B43)</f>
        <v>12</v>
      </c>
      <c r="H43" s="30">
        <f>SUMIFS(Budget!$M$5:$M$90,Budget!$Q$5:$Q$90,$A43,Budget!$R$5:$R$90,$B43)</f>
        <v>763848</v>
      </c>
    </row>
    <row r="44" spans="1:8">
      <c r="A44" s="28" t="s">
        <v>142</v>
      </c>
      <c r="B44" t="s">
        <v>132</v>
      </c>
      <c r="C44" s="29">
        <f>SUMIFS(Budget!$H$5:$H$90,Budget!$Q$5:$Q$90,$A44,Budget!$R$5:$R$90,$B44)</f>
        <v>306</v>
      </c>
      <c r="D44" s="4">
        <f>SUMIFS(Budget!$I$5:$I$90,Budget!$Q$5:$Q$90,$A44,Budget!$R$5:$R$90,$B44)</f>
        <v>32275000</v>
      </c>
      <c r="E44" s="29">
        <f>SUMIFS(Budget!$J$5:$J$90,Budget!$Q$5:$Q$90,$A44,Budget!$R$5:$R$90,$B44)</f>
        <v>313</v>
      </c>
      <c r="F44" s="4">
        <f>SUMIFS(Budget!$K$5:$K$90,Budget!$Q$5:$Q$90,$A44,Budget!$R$5:$R$90,$B44)</f>
        <v>33868000</v>
      </c>
      <c r="G44" s="29">
        <f>SUMIFS(Budget!$L$5:$L$90,Budget!$Q$5:$Q$90,$A44,Budget!$R$5:$R$90,$B44)</f>
        <v>321</v>
      </c>
      <c r="H44" s="30">
        <f>SUMIFS(Budget!$M$5:$M$90,Budget!$Q$5:$Q$90,$A44,Budget!$R$5:$R$90,$B44)</f>
        <v>35634990</v>
      </c>
    </row>
    <row r="45" spans="1:8">
      <c r="A45" s="28" t="s">
        <v>142</v>
      </c>
      <c r="B45" t="s">
        <v>138</v>
      </c>
      <c r="C45" s="29">
        <f>SUMIFS(Budget!$H$5:$H$90,Budget!$Q$5:$Q$90,$A45,Budget!$R$5:$R$90,$B45)</f>
        <v>0</v>
      </c>
      <c r="D45" s="4">
        <f>SUMIFS(Budget!$I$5:$I$90,Budget!$Q$5:$Q$90,$A45,Budget!$R$5:$R$90,$B45)</f>
        <v>40000</v>
      </c>
      <c r="E45" s="29">
        <f>SUMIFS(Budget!$J$5:$J$90,Budget!$Q$5:$Q$90,$A45,Budget!$R$5:$R$90,$B45)</f>
        <v>0</v>
      </c>
      <c r="F45" s="4">
        <f>SUMIFS(Budget!$K$5:$K$90,Budget!$Q$5:$Q$90,$A45,Budget!$R$5:$R$90,$B45)</f>
        <v>40000</v>
      </c>
      <c r="G45" s="29">
        <f>SUMIFS(Budget!$L$5:$L$90,Budget!$Q$5:$Q$90,$A45,Budget!$R$5:$R$90,$B45)</f>
        <v>0</v>
      </c>
      <c r="H45" s="30">
        <f>SUMIFS(Budget!$M$5:$M$90,Budget!$Q$5:$Q$90,$A45,Budget!$R$5:$R$90,$B45)</f>
        <v>40000</v>
      </c>
    </row>
    <row r="46" spans="1:8" ht="12.95">
      <c r="A46" s="31" t="s">
        <v>130</v>
      </c>
      <c r="B46" s="32"/>
      <c r="C46" s="33">
        <f t="shared" ref="C46:H46" si="1">SUM(C29:C45)</f>
        <v>551</v>
      </c>
      <c r="D46" s="34">
        <f t="shared" si="1"/>
        <v>68905977</v>
      </c>
      <c r="E46" s="33">
        <f t="shared" si="1"/>
        <v>564</v>
      </c>
      <c r="F46" s="34">
        <f t="shared" si="1"/>
        <v>65143976.310000002</v>
      </c>
      <c r="G46" s="33">
        <f t="shared" si="1"/>
        <v>580</v>
      </c>
      <c r="H46" s="35">
        <f t="shared" si="1"/>
        <v>68949115.599299997</v>
      </c>
    </row>
  </sheetData>
  <sheetProtection algorithmName="SHA-512" hashValue="qqFcvYEajH/9jMM2LZDKPojsEghYaf2ED6P49ryYOvanbtqOq7tHkEvZYMBrIVa8sJ1mF4sDo401QVGNVTOmEA==" saltValue="aPRWu1m1dRM03OIE9bBn1A==" spinCount="100000" sheet="1" objects="1" scenarios="1"/>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
  <sheetViews>
    <sheetView zoomScaleNormal="100" workbookViewId="0">
      <selection activeCell="A11" sqref="A11"/>
    </sheetView>
  </sheetViews>
  <sheetFormatPr defaultColWidth="12.5703125" defaultRowHeight="12.6"/>
  <cols>
    <col min="1" max="1" width="43.7109375" customWidth="1"/>
    <col min="2" max="2" width="23.140625" customWidth="1"/>
  </cols>
  <sheetData>
    <row r="1" spans="1:9" ht="12.95">
      <c r="A1" s="26" t="s">
        <v>143</v>
      </c>
      <c r="B1" s="26" t="s">
        <v>128</v>
      </c>
      <c r="C1" s="26" t="s">
        <v>17</v>
      </c>
      <c r="D1" s="26" t="s">
        <v>144</v>
      </c>
    </row>
    <row r="2" spans="1:9" ht="15.75" customHeight="1">
      <c r="A2" t="s">
        <v>93</v>
      </c>
      <c r="B2" t="s">
        <v>145</v>
      </c>
    </row>
    <row r="3" spans="1:9" ht="15.75" customHeight="1">
      <c r="A3" t="s">
        <v>41</v>
      </c>
      <c r="B3" t="s">
        <v>26</v>
      </c>
    </row>
    <row r="4" spans="1:9" ht="15.75" customHeight="1">
      <c r="A4" t="s">
        <v>43</v>
      </c>
      <c r="B4" t="s">
        <v>92</v>
      </c>
    </row>
    <row r="5" spans="1:9" ht="15.75" customHeight="1">
      <c r="A5" t="s">
        <v>78</v>
      </c>
      <c r="B5" t="s">
        <v>96</v>
      </c>
    </row>
    <row r="6" spans="1:9" ht="15.75" customHeight="1">
      <c r="A6" t="s">
        <v>31</v>
      </c>
      <c r="B6" t="s">
        <v>40</v>
      </c>
    </row>
    <row r="7" spans="1:9" ht="15.75" customHeight="1">
      <c r="A7" t="s">
        <v>29</v>
      </c>
      <c r="B7" t="s">
        <v>23</v>
      </c>
    </row>
    <row r="8" spans="1:9" ht="15.75" customHeight="1">
      <c r="A8" t="s">
        <v>24</v>
      </c>
      <c r="B8" t="s">
        <v>52</v>
      </c>
    </row>
    <row r="9" spans="1:9" ht="15.75" customHeight="1">
      <c r="A9" t="s">
        <v>49</v>
      </c>
      <c r="B9" t="s">
        <v>28</v>
      </c>
    </row>
    <row r="10" spans="1:9" ht="15.75" customHeight="1">
      <c r="A10" t="s">
        <v>33</v>
      </c>
      <c r="B10" t="s">
        <v>146</v>
      </c>
    </row>
    <row r="11" spans="1:9" ht="15.75" customHeight="1">
      <c r="A11" t="s">
        <v>147</v>
      </c>
      <c r="B11" t="s">
        <v>88</v>
      </c>
    </row>
    <row r="12" spans="1:9" ht="15.75" customHeight="1">
      <c r="A12" t="s">
        <v>148</v>
      </c>
    </row>
    <row r="13" spans="1:9" ht="15.75" customHeight="1">
      <c r="A13" t="s">
        <v>88</v>
      </c>
    </row>
    <row r="15" spans="1:9" ht="15.75" customHeight="1">
      <c r="A15" s="36" t="s">
        <v>149</v>
      </c>
    </row>
    <row r="16" spans="1:9" ht="15.75" customHeight="1">
      <c r="A16" s="37" t="s">
        <v>150</v>
      </c>
      <c r="G16" t="s">
        <v>151</v>
      </c>
      <c r="I16" t="s">
        <v>152</v>
      </c>
    </row>
    <row r="17" spans="1:1" ht="15.75" customHeight="1">
      <c r="A17" t="s">
        <v>153</v>
      </c>
    </row>
    <row r="18" spans="1:1" ht="15.75" customHeight="1">
      <c r="A18" t="s">
        <v>154</v>
      </c>
    </row>
    <row r="19" spans="1:1" ht="15.75" customHeight="1">
      <c r="A19" t="s">
        <v>155</v>
      </c>
    </row>
    <row r="20" spans="1:1" ht="15.75" customHeight="1">
      <c r="A20" t="s">
        <v>151</v>
      </c>
    </row>
    <row r="21" spans="1:1" ht="15.75" customHeight="1">
      <c r="A21" t="s">
        <v>156</v>
      </c>
    </row>
    <row r="22" spans="1:1" ht="15.75" customHeight="1">
      <c r="A22" t="s">
        <v>157</v>
      </c>
    </row>
    <row r="23" spans="1:1" ht="15.75" customHeight="1">
      <c r="A23" s="36" t="s">
        <v>158</v>
      </c>
    </row>
    <row r="24" spans="1:1" ht="15.75" customHeight="1">
      <c r="A24" t="s">
        <v>159</v>
      </c>
    </row>
  </sheetData>
  <sheetProtection algorithmName="SHA-512" hashValue="a6gqBwbr0n6mMXqjp2vGZ///YQ27N3EvtCheZv/Rr015ZA9O704iUqrVHfvoTZzGt2e1BohoEWbpXYtc+0IbPw==" saltValue="EgfRnggKd79/vUjT2calBg==" spinCount="100000" sheet="1" objects="1" scenarios="1"/>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8"/>
  <sheetViews>
    <sheetView zoomScaleNormal="100" workbookViewId="0">
      <selection activeCell="D1" sqref="D1"/>
    </sheetView>
  </sheetViews>
  <sheetFormatPr defaultColWidth="11.5703125" defaultRowHeight="12.6"/>
  <cols>
    <col min="1" max="1" width="38" customWidth="1"/>
    <col min="2" max="2" width="19.85546875" customWidth="1"/>
    <col min="3" max="3" width="25" customWidth="1"/>
    <col min="4" max="4" width="14.5703125" customWidth="1"/>
    <col min="5" max="5" width="18.85546875" customWidth="1"/>
    <col min="6" max="6" width="21.140625" customWidth="1"/>
    <col min="7" max="7" width="27.85546875" customWidth="1"/>
  </cols>
  <sheetData>
    <row r="1" spans="1:13" ht="12.95">
      <c r="A1" s="26" t="s">
        <v>160</v>
      </c>
      <c r="B1" s="38" t="s">
        <v>161</v>
      </c>
      <c r="C1" s="26" t="s">
        <v>162</v>
      </c>
      <c r="D1" s="26" t="s">
        <v>15</v>
      </c>
      <c r="E1" s="26" t="s">
        <v>163</v>
      </c>
      <c r="F1" s="26" t="s">
        <v>164</v>
      </c>
      <c r="G1" s="26" t="s">
        <v>6</v>
      </c>
      <c r="L1" s="26" t="s">
        <v>17</v>
      </c>
      <c r="M1" s="26" t="s">
        <v>128</v>
      </c>
    </row>
    <row r="2" spans="1:13">
      <c r="A2" t="str">
        <f t="shared" ref="A2:A28" si="0">_xlfn.CONCAT(B2,"-",C2)</f>
        <v>Administration-Salaries - Administrator</v>
      </c>
      <c r="B2" s="21" t="s">
        <v>93</v>
      </c>
      <c r="C2" t="s">
        <v>92</v>
      </c>
      <c r="D2" t="s">
        <v>93</v>
      </c>
      <c r="E2" t="s">
        <v>165</v>
      </c>
      <c r="F2" t="str">
        <f t="shared" ref="F2:F28" si="1">VLOOKUP(E2,$L$2:$M$7,2)</f>
        <v>Professional Salaries</v>
      </c>
      <c r="G2" t="str">
        <f t="shared" ref="G2:G28" si="2">_xlfn.CONCAT(E2,"-",F2)</f>
        <v>01-Professional Salaries</v>
      </c>
      <c r="L2" t="s">
        <v>165</v>
      </c>
      <c r="M2" t="s">
        <v>166</v>
      </c>
    </row>
    <row r="3" spans="1:13">
      <c r="A3" t="str">
        <f t="shared" si="0"/>
        <v>Administration-Other</v>
      </c>
      <c r="B3" s="21" t="s">
        <v>93</v>
      </c>
      <c r="C3" t="s">
        <v>88</v>
      </c>
      <c r="D3" t="s">
        <v>93</v>
      </c>
      <c r="E3" t="s">
        <v>167</v>
      </c>
      <c r="F3" t="str">
        <f t="shared" si="1"/>
        <v>Other Expenses</v>
      </c>
      <c r="G3" t="str">
        <f t="shared" si="2"/>
        <v>06-Other Expenses</v>
      </c>
      <c r="L3" t="s">
        <v>168</v>
      </c>
      <c r="M3" t="s">
        <v>169</v>
      </c>
    </row>
    <row r="4" spans="1:13">
      <c r="A4" t="str">
        <f t="shared" si="0"/>
        <v>Administration-Contractual Services</v>
      </c>
      <c r="B4" s="21" t="s">
        <v>93</v>
      </c>
      <c r="C4" t="s">
        <v>26</v>
      </c>
      <c r="D4" t="s">
        <v>93</v>
      </c>
      <c r="E4" t="s">
        <v>170</v>
      </c>
      <c r="F4" t="str">
        <f t="shared" si="1"/>
        <v>Contracted Services</v>
      </c>
      <c r="G4" t="str">
        <f t="shared" si="2"/>
        <v>04-Contracted Services</v>
      </c>
      <c r="L4" t="s">
        <v>171</v>
      </c>
      <c r="M4" t="s">
        <v>172</v>
      </c>
    </row>
    <row r="5" spans="1:13" ht="24.95">
      <c r="A5" t="str">
        <f t="shared" si="0"/>
        <v>Classroom &amp; Specialist Teachers-Salaries - Instructional</v>
      </c>
      <c r="B5" s="21" t="s">
        <v>43</v>
      </c>
      <c r="C5" t="s">
        <v>40</v>
      </c>
      <c r="D5" t="s">
        <v>142</v>
      </c>
      <c r="E5" s="21" t="s">
        <v>165</v>
      </c>
      <c r="F5" t="str">
        <f t="shared" si="1"/>
        <v>Professional Salaries</v>
      </c>
      <c r="G5" t="str">
        <f t="shared" si="2"/>
        <v>01-Professional Salaries</v>
      </c>
      <c r="L5" t="s">
        <v>170</v>
      </c>
      <c r="M5" t="s">
        <v>173</v>
      </c>
    </row>
    <row r="6" spans="1:13" ht="24.95">
      <c r="A6" t="str">
        <f t="shared" si="0"/>
        <v>Classroom &amp; Specialist Teachers-Stipends</v>
      </c>
      <c r="B6" s="21" t="s">
        <v>43</v>
      </c>
      <c r="C6" t="s">
        <v>52</v>
      </c>
      <c r="D6" t="s">
        <v>142</v>
      </c>
      <c r="E6" s="21" t="s">
        <v>165</v>
      </c>
      <c r="F6" t="str">
        <f t="shared" si="1"/>
        <v>Professional Salaries</v>
      </c>
      <c r="G6" t="str">
        <f t="shared" si="2"/>
        <v>01-Professional Salaries</v>
      </c>
      <c r="L6" t="s">
        <v>174</v>
      </c>
      <c r="M6" t="s">
        <v>28</v>
      </c>
    </row>
    <row r="7" spans="1:13" ht="24.95">
      <c r="A7" t="str">
        <f t="shared" si="0"/>
        <v>Classroom &amp; Specialist Teachers-Supplies and Materials</v>
      </c>
      <c r="B7" s="21" t="s">
        <v>43</v>
      </c>
      <c r="C7" t="s">
        <v>28</v>
      </c>
      <c r="D7" t="s">
        <v>142</v>
      </c>
      <c r="E7" s="21" t="s">
        <v>174</v>
      </c>
      <c r="F7" t="str">
        <f t="shared" si="1"/>
        <v>Supplies and Materials</v>
      </c>
      <c r="G7" t="str">
        <f t="shared" si="2"/>
        <v>05-Supplies and Materials</v>
      </c>
      <c r="L7" t="s">
        <v>167</v>
      </c>
      <c r="M7" t="s">
        <v>175</v>
      </c>
    </row>
    <row r="8" spans="1:13" ht="24.95">
      <c r="A8" t="str">
        <f t="shared" si="0"/>
        <v>Classroom &amp; Specialist Teachers-Other</v>
      </c>
      <c r="B8" s="21" t="s">
        <v>43</v>
      </c>
      <c r="C8" t="s">
        <v>88</v>
      </c>
      <c r="D8" t="s">
        <v>142</v>
      </c>
      <c r="E8" s="21" t="s">
        <v>167</v>
      </c>
      <c r="F8" t="str">
        <f t="shared" si="1"/>
        <v>Other Expenses</v>
      </c>
      <c r="G8" t="str">
        <f t="shared" si="2"/>
        <v>06-Other Expenses</v>
      </c>
    </row>
    <row r="9" spans="1:13" ht="37.5">
      <c r="A9" t="str">
        <f t="shared" si="0"/>
        <v>Guidance and Psychological-Contractual Services</v>
      </c>
      <c r="B9" s="21" t="s">
        <v>24</v>
      </c>
      <c r="C9" t="s">
        <v>26</v>
      </c>
      <c r="D9" s="21" t="s">
        <v>134</v>
      </c>
      <c r="E9" s="21" t="s">
        <v>170</v>
      </c>
      <c r="F9" t="str">
        <f t="shared" si="1"/>
        <v>Contracted Services</v>
      </c>
      <c r="G9" t="str">
        <f t="shared" si="2"/>
        <v>04-Contracted Services</v>
      </c>
    </row>
    <row r="10" spans="1:13" ht="37.5">
      <c r="A10" t="str">
        <f t="shared" si="0"/>
        <v>Guidance and Psychological-Salaries - Other</v>
      </c>
      <c r="B10" s="21" t="s">
        <v>24</v>
      </c>
      <c r="C10" t="s">
        <v>23</v>
      </c>
      <c r="D10" s="21" t="s">
        <v>134</v>
      </c>
      <c r="E10" s="21" t="s">
        <v>165</v>
      </c>
      <c r="F10" t="str">
        <f t="shared" si="1"/>
        <v>Professional Salaries</v>
      </c>
      <c r="G10" t="str">
        <f t="shared" si="2"/>
        <v>01-Professional Salaries</v>
      </c>
    </row>
    <row r="11" spans="1:13">
      <c r="A11" t="str">
        <f t="shared" si="0"/>
        <v>Instruction Leadership-Salaries - Instructional</v>
      </c>
      <c r="B11" s="21" t="s">
        <v>41</v>
      </c>
      <c r="C11" t="s">
        <v>40</v>
      </c>
      <c r="D11" t="s">
        <v>135</v>
      </c>
      <c r="E11" s="21" t="s">
        <v>165</v>
      </c>
      <c r="F11" t="str">
        <f t="shared" si="1"/>
        <v>Professional Salaries</v>
      </c>
      <c r="G11" t="str">
        <f t="shared" si="2"/>
        <v>01-Professional Salaries</v>
      </c>
    </row>
    <row r="12" spans="1:13">
      <c r="A12" t="str">
        <f t="shared" si="0"/>
        <v>Instruction Leadership-Stipends</v>
      </c>
      <c r="B12" s="21" t="s">
        <v>41</v>
      </c>
      <c r="C12" t="s">
        <v>52</v>
      </c>
      <c r="D12" t="s">
        <v>135</v>
      </c>
      <c r="E12" s="21" t="s">
        <v>165</v>
      </c>
      <c r="F12" t="str">
        <f t="shared" si="1"/>
        <v>Professional Salaries</v>
      </c>
      <c r="G12" t="str">
        <f t="shared" si="2"/>
        <v>01-Professional Salaries</v>
      </c>
    </row>
    <row r="13" spans="1:13" ht="50.1">
      <c r="A13" t="str">
        <f t="shared" si="0"/>
        <v>Instructional Materials, Equip., and Tech.-Contractual Services</v>
      </c>
      <c r="B13" s="21" t="s">
        <v>29</v>
      </c>
      <c r="C13" t="s">
        <v>26</v>
      </c>
      <c r="D13" s="21" t="s">
        <v>136</v>
      </c>
      <c r="E13" s="21" t="s">
        <v>167</v>
      </c>
      <c r="F13" t="str">
        <f t="shared" si="1"/>
        <v>Other Expenses</v>
      </c>
      <c r="G13" t="str">
        <f t="shared" si="2"/>
        <v>06-Other Expenses</v>
      </c>
    </row>
    <row r="14" spans="1:13" ht="50.1">
      <c r="A14" t="str">
        <f t="shared" si="0"/>
        <v>Instructional Materials, Equip., and Tech.-Operations and Management</v>
      </c>
      <c r="B14" s="21" t="s">
        <v>29</v>
      </c>
      <c r="C14" t="s">
        <v>176</v>
      </c>
      <c r="D14" s="21" t="s">
        <v>136</v>
      </c>
      <c r="E14" s="21" t="s">
        <v>174</v>
      </c>
      <c r="F14" t="str">
        <f t="shared" si="1"/>
        <v>Supplies and Materials</v>
      </c>
      <c r="G14" t="str">
        <f t="shared" si="2"/>
        <v>05-Supplies and Materials</v>
      </c>
    </row>
    <row r="15" spans="1:13" ht="50.1">
      <c r="A15" t="str">
        <f t="shared" si="0"/>
        <v>Instructional Materials, Equip., and Tech.-Supplies and Materials</v>
      </c>
      <c r="B15" s="21" t="s">
        <v>29</v>
      </c>
      <c r="C15" t="s">
        <v>28</v>
      </c>
      <c r="D15" s="21" t="s">
        <v>136</v>
      </c>
      <c r="E15" s="21" t="s">
        <v>174</v>
      </c>
      <c r="F15" t="str">
        <f t="shared" si="1"/>
        <v>Supplies and Materials</v>
      </c>
      <c r="G15" t="str">
        <f t="shared" si="2"/>
        <v>05-Supplies and Materials</v>
      </c>
    </row>
    <row r="16" spans="1:13" ht="24.95">
      <c r="A16" t="str">
        <f t="shared" si="0"/>
        <v>Operations and Maintenance-Other</v>
      </c>
      <c r="B16" s="21" t="s">
        <v>33</v>
      </c>
      <c r="C16" t="s">
        <v>88</v>
      </c>
      <c r="D16" s="21" t="s">
        <v>139</v>
      </c>
      <c r="E16" s="21" t="s">
        <v>167</v>
      </c>
      <c r="F16" t="str">
        <f t="shared" si="1"/>
        <v>Other Expenses</v>
      </c>
      <c r="G16" t="str">
        <f t="shared" si="2"/>
        <v>06-Other Expenses</v>
      </c>
    </row>
    <row r="17" spans="1:9" ht="24.95">
      <c r="A17" t="str">
        <f t="shared" si="0"/>
        <v>Operations and Maintenance-Supplies and Materials</v>
      </c>
      <c r="B17" s="21" t="s">
        <v>33</v>
      </c>
      <c r="C17" t="s">
        <v>28</v>
      </c>
      <c r="D17" s="21" t="s">
        <v>139</v>
      </c>
      <c r="E17" s="21" t="s">
        <v>174</v>
      </c>
      <c r="F17" t="str">
        <f t="shared" si="1"/>
        <v>Supplies and Materials</v>
      </c>
      <c r="G17" t="str">
        <f t="shared" si="2"/>
        <v>05-Supplies and Materials</v>
      </c>
    </row>
    <row r="18" spans="1:9">
      <c r="A18" t="str">
        <f t="shared" si="0"/>
        <v>Other-Capital Expenditures</v>
      </c>
      <c r="B18" s="21" t="s">
        <v>88</v>
      </c>
      <c r="C18" t="s">
        <v>145</v>
      </c>
      <c r="D18" t="s">
        <v>177</v>
      </c>
      <c r="E18" s="21" t="s">
        <v>167</v>
      </c>
      <c r="F18" t="str">
        <f t="shared" si="1"/>
        <v>Other Expenses</v>
      </c>
      <c r="G18" t="str">
        <f t="shared" si="2"/>
        <v>06-Other Expenses</v>
      </c>
    </row>
    <row r="19" spans="1:9">
      <c r="A19" t="str">
        <f t="shared" si="0"/>
        <v>Other-Contractual Services</v>
      </c>
      <c r="B19" s="21" t="s">
        <v>88</v>
      </c>
      <c r="C19" t="s">
        <v>26</v>
      </c>
      <c r="D19" t="s">
        <v>177</v>
      </c>
      <c r="E19" s="21" t="s">
        <v>170</v>
      </c>
      <c r="F19" t="str">
        <f t="shared" si="1"/>
        <v>Contracted Services</v>
      </c>
      <c r="G19" t="str">
        <f t="shared" si="2"/>
        <v>04-Contracted Services</v>
      </c>
    </row>
    <row r="20" spans="1:9">
      <c r="A20" t="str">
        <f t="shared" si="0"/>
        <v>Other-Other</v>
      </c>
      <c r="B20" s="21" t="s">
        <v>88</v>
      </c>
      <c r="C20" t="s">
        <v>88</v>
      </c>
      <c r="D20" t="s">
        <v>177</v>
      </c>
      <c r="E20" s="21" t="s">
        <v>167</v>
      </c>
      <c r="F20" t="str">
        <f t="shared" si="1"/>
        <v>Other Expenses</v>
      </c>
      <c r="G20" t="str">
        <f t="shared" si="2"/>
        <v>06-Other Expenses</v>
      </c>
    </row>
    <row r="21" spans="1:9">
      <c r="A21" t="str">
        <f t="shared" si="0"/>
        <v>Other-Salaries - Other</v>
      </c>
      <c r="B21" s="21" t="s">
        <v>88</v>
      </c>
      <c r="C21" t="s">
        <v>23</v>
      </c>
      <c r="D21" t="s">
        <v>177</v>
      </c>
      <c r="E21" s="21" t="s">
        <v>171</v>
      </c>
      <c r="F21" t="str">
        <f t="shared" si="1"/>
        <v>Other Salaries</v>
      </c>
      <c r="G21" t="str">
        <f t="shared" si="2"/>
        <v>03-Other Salaries</v>
      </c>
    </row>
    <row r="22" spans="1:9" ht="24.95">
      <c r="A22" t="str">
        <f t="shared" si="0"/>
        <v>Other Teaching Services-Contractual Services</v>
      </c>
      <c r="B22" s="21" t="s">
        <v>78</v>
      </c>
      <c r="C22" t="s">
        <v>26</v>
      </c>
      <c r="D22" s="21" t="s">
        <v>78</v>
      </c>
      <c r="E22" s="21" t="s">
        <v>170</v>
      </c>
      <c r="F22" t="str">
        <f t="shared" si="1"/>
        <v>Contracted Services</v>
      </c>
      <c r="G22" t="str">
        <f t="shared" si="2"/>
        <v>04-Contracted Services</v>
      </c>
    </row>
    <row r="23" spans="1:9" ht="24.95">
      <c r="A23" t="str">
        <f t="shared" si="0"/>
        <v>Other Teaching Services-Salaries - Clerical/Support</v>
      </c>
      <c r="B23" s="21" t="s">
        <v>78</v>
      </c>
      <c r="C23" t="s">
        <v>96</v>
      </c>
      <c r="D23" s="21" t="s">
        <v>78</v>
      </c>
      <c r="E23" s="21" t="s">
        <v>168</v>
      </c>
      <c r="F23" t="str">
        <f t="shared" si="1"/>
        <v>Clerical Salaries</v>
      </c>
      <c r="G23" t="str">
        <f t="shared" si="2"/>
        <v>02-Clerical Salaries</v>
      </c>
    </row>
    <row r="24" spans="1:9" ht="24.95">
      <c r="A24" t="str">
        <f t="shared" si="0"/>
        <v>Other Teaching Services-Salaries - Other</v>
      </c>
      <c r="B24" s="21" t="s">
        <v>78</v>
      </c>
      <c r="C24" t="s">
        <v>23</v>
      </c>
      <c r="D24" s="21" t="s">
        <v>78</v>
      </c>
      <c r="E24" s="21" t="s">
        <v>171</v>
      </c>
      <c r="F24" t="str">
        <f t="shared" si="1"/>
        <v>Other Salaries</v>
      </c>
      <c r="G24" t="str">
        <f t="shared" si="2"/>
        <v>03-Other Salaries</v>
      </c>
    </row>
    <row r="25" spans="1:9" ht="24.95">
      <c r="A25" t="str">
        <f t="shared" si="0"/>
        <v>Professional Development-Contractual Services</v>
      </c>
      <c r="B25" s="21" t="s">
        <v>31</v>
      </c>
      <c r="C25" t="s">
        <v>26</v>
      </c>
      <c r="D25" t="s">
        <v>31</v>
      </c>
      <c r="E25" s="21" t="s">
        <v>170</v>
      </c>
      <c r="F25" t="str">
        <f t="shared" si="1"/>
        <v>Contracted Services</v>
      </c>
      <c r="G25" t="str">
        <f t="shared" si="2"/>
        <v>04-Contracted Services</v>
      </c>
    </row>
    <row r="26" spans="1:9">
      <c r="A26" t="str">
        <f t="shared" si="0"/>
        <v>Pupil Services-Salaries - Other</v>
      </c>
      <c r="B26" s="21" t="s">
        <v>49</v>
      </c>
      <c r="C26" t="s">
        <v>23</v>
      </c>
      <c r="D26" s="21" t="s">
        <v>49</v>
      </c>
      <c r="E26" s="21" t="s">
        <v>171</v>
      </c>
      <c r="F26" t="str">
        <f t="shared" si="1"/>
        <v>Other Salaries</v>
      </c>
      <c r="G26" t="str">
        <f t="shared" si="2"/>
        <v>03-Other Salaries</v>
      </c>
    </row>
    <row r="27" spans="1:9" ht="24.95">
      <c r="A27" t="str">
        <f t="shared" si="0"/>
        <v>Benefits and Fixed Charges -Contractual Services</v>
      </c>
      <c r="B27" s="21" t="s">
        <v>35</v>
      </c>
      <c r="C27" t="s">
        <v>26</v>
      </c>
      <c r="D27" s="21" t="s">
        <v>35</v>
      </c>
      <c r="E27" t="s">
        <v>170</v>
      </c>
      <c r="F27" t="str">
        <f t="shared" si="1"/>
        <v>Contracted Services</v>
      </c>
      <c r="G27" t="str">
        <f t="shared" si="2"/>
        <v>04-Contracted Services</v>
      </c>
      <c r="I27" t="b">
        <f>A24=Budget!P47</f>
        <v>1</v>
      </c>
    </row>
    <row r="28" spans="1:9" ht="24.95">
      <c r="A28" t="str">
        <f t="shared" si="0"/>
        <v>Other Teaching Services-Salaries - Other</v>
      </c>
      <c r="B28" s="21" t="s">
        <v>78</v>
      </c>
      <c r="C28" t="s">
        <v>23</v>
      </c>
      <c r="D28" t="s">
        <v>78</v>
      </c>
      <c r="E28" t="s">
        <v>171</v>
      </c>
      <c r="F28" t="str">
        <f t="shared" si="1"/>
        <v>Other Salaries</v>
      </c>
      <c r="G28" t="str">
        <f t="shared" si="2"/>
        <v>03-Other Salaries</v>
      </c>
    </row>
  </sheetData>
  <sheetProtection algorithmName="SHA-512" hashValue="Qm/CtFjwTYdagGaHE4y7ZWBAY0w7IJWisMe7ks66bp+24OtNB9vjdiOfHRfw6/yUBHu8dcm8E3/Ha+RQ9px82A==" saltValue="lOIoodXyG1euZgsRFY4OKQ=="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2"/>
  <sheetViews>
    <sheetView zoomScaleNormal="100" workbookViewId="0">
      <selection activeCell="I13" sqref="I13"/>
    </sheetView>
  </sheetViews>
  <sheetFormatPr defaultColWidth="11.5703125" defaultRowHeight="12.6"/>
  <cols>
    <col min="2" max="2" width="13.28515625" customWidth="1"/>
    <col min="3" max="3" width="14.5703125" customWidth="1"/>
    <col min="7" max="7" width="42.140625" customWidth="1"/>
    <col min="13" max="14" width="11.5703125" hidden="1"/>
  </cols>
  <sheetData>
    <row r="1" spans="1:14" ht="12.95">
      <c r="A1" s="26" t="s">
        <v>127</v>
      </c>
      <c r="B1" s="26" t="s">
        <v>178</v>
      </c>
      <c r="C1" s="26" t="s">
        <v>179</v>
      </c>
      <c r="D1" s="26" t="s">
        <v>17</v>
      </c>
      <c r="E1" s="26" t="s">
        <v>128</v>
      </c>
      <c r="F1" s="26" t="s">
        <v>180</v>
      </c>
      <c r="G1" s="26" t="s">
        <v>181</v>
      </c>
      <c r="M1" s="26" t="s">
        <v>17</v>
      </c>
      <c r="N1" s="26" t="s">
        <v>128</v>
      </c>
    </row>
    <row r="2" spans="1:14" ht="24.95">
      <c r="A2" t="s">
        <v>93</v>
      </c>
      <c r="B2">
        <v>1110</v>
      </c>
      <c r="C2" s="21" t="s">
        <v>182</v>
      </c>
      <c r="D2" t="s">
        <v>168</v>
      </c>
      <c r="E2" s="21" t="str">
        <f t="shared" ref="E2:E11" si="0">VLOOKUP(D2,$M$2:$N$7,2)</f>
        <v>Clerical Salaries</v>
      </c>
      <c r="F2" t="str">
        <f t="shared" ref="F2:F11" si="1">_xlfn.CONCAT(B2,"-",D2)</f>
        <v>1110-02</v>
      </c>
      <c r="G2" t="str">
        <f t="shared" ref="G2:G11" si="2">_xlfn.CONCAT(B2,"-",C2," ", D2, "-",E2)</f>
        <v>1110-School Committee  02-Clerical Salaries</v>
      </c>
      <c r="M2" t="s">
        <v>165</v>
      </c>
      <c r="N2" t="s">
        <v>166</v>
      </c>
    </row>
    <row r="3" spans="1:14" ht="24.95">
      <c r="A3" t="s">
        <v>93</v>
      </c>
      <c r="B3">
        <v>1110</v>
      </c>
      <c r="C3" s="21" t="s">
        <v>182</v>
      </c>
      <c r="D3" t="s">
        <v>171</v>
      </c>
      <c r="E3" s="21" t="str">
        <f t="shared" si="0"/>
        <v>Other Salaries</v>
      </c>
      <c r="F3" t="str">
        <f t="shared" si="1"/>
        <v>1110-03</v>
      </c>
      <c r="G3" t="str">
        <f t="shared" si="2"/>
        <v>1110-School Committee  03-Other Salaries</v>
      </c>
      <c r="M3" t="s">
        <v>168</v>
      </c>
      <c r="N3" t="s">
        <v>169</v>
      </c>
    </row>
    <row r="4" spans="1:14" ht="24.95">
      <c r="A4" t="s">
        <v>93</v>
      </c>
      <c r="B4">
        <v>1110</v>
      </c>
      <c r="C4" s="21" t="s">
        <v>182</v>
      </c>
      <c r="D4" t="s">
        <v>170</v>
      </c>
      <c r="E4" s="21" t="str">
        <f t="shared" si="0"/>
        <v>Contracted Services</v>
      </c>
      <c r="F4" t="str">
        <f t="shared" si="1"/>
        <v>1110-04</v>
      </c>
      <c r="G4" t="str">
        <f t="shared" si="2"/>
        <v>1110-School Committee  04-Contracted Services</v>
      </c>
      <c r="M4" t="s">
        <v>171</v>
      </c>
      <c r="N4" t="s">
        <v>172</v>
      </c>
    </row>
    <row r="5" spans="1:14" ht="24.95">
      <c r="A5" t="s">
        <v>93</v>
      </c>
      <c r="B5">
        <v>1110</v>
      </c>
      <c r="C5" s="21" t="s">
        <v>182</v>
      </c>
      <c r="D5" t="s">
        <v>174</v>
      </c>
      <c r="E5" s="21" t="str">
        <f t="shared" si="0"/>
        <v>Supplies and Materials</v>
      </c>
      <c r="F5" t="str">
        <f t="shared" si="1"/>
        <v>1110-05</v>
      </c>
      <c r="G5" t="str">
        <f t="shared" si="2"/>
        <v>1110-School Committee  05-Supplies and Materials</v>
      </c>
      <c r="M5" t="s">
        <v>170</v>
      </c>
      <c r="N5" t="s">
        <v>173</v>
      </c>
    </row>
    <row r="6" spans="1:14" ht="24.95">
      <c r="A6" t="s">
        <v>93</v>
      </c>
      <c r="B6">
        <v>1110</v>
      </c>
      <c r="C6" s="21" t="s">
        <v>182</v>
      </c>
      <c r="D6" t="s">
        <v>167</v>
      </c>
      <c r="E6" s="21" t="str">
        <f t="shared" si="0"/>
        <v>Other Expenses</v>
      </c>
      <c r="F6" t="str">
        <f t="shared" si="1"/>
        <v>1110-06</v>
      </c>
      <c r="G6" t="str">
        <f t="shared" si="2"/>
        <v>1110-School Committee  06-Other Expenses</v>
      </c>
      <c r="M6" t="s">
        <v>174</v>
      </c>
      <c r="N6" t="s">
        <v>28</v>
      </c>
    </row>
    <row r="7" spans="1:14" ht="24.95">
      <c r="A7" t="s">
        <v>93</v>
      </c>
      <c r="B7" s="21">
        <v>1210</v>
      </c>
      <c r="C7" s="21" t="s">
        <v>183</v>
      </c>
      <c r="D7" t="s">
        <v>168</v>
      </c>
      <c r="E7" s="21" t="str">
        <f t="shared" si="0"/>
        <v>Clerical Salaries</v>
      </c>
      <c r="F7" t="str">
        <f t="shared" si="1"/>
        <v>1210-02</v>
      </c>
      <c r="G7" t="str">
        <f t="shared" si="2"/>
        <v>1210-Superintendent  02-Clerical Salaries</v>
      </c>
      <c r="M7" t="s">
        <v>167</v>
      </c>
      <c r="N7" t="s">
        <v>175</v>
      </c>
    </row>
    <row r="8" spans="1:14" ht="24.95">
      <c r="A8" t="s">
        <v>93</v>
      </c>
      <c r="B8" s="21">
        <v>1210</v>
      </c>
      <c r="C8" s="21" t="s">
        <v>183</v>
      </c>
      <c r="D8" t="s">
        <v>171</v>
      </c>
      <c r="E8" s="21" t="str">
        <f t="shared" si="0"/>
        <v>Other Salaries</v>
      </c>
      <c r="F8" t="str">
        <f t="shared" si="1"/>
        <v>1210-03</v>
      </c>
      <c r="G8" t="str">
        <f t="shared" si="2"/>
        <v>1210-Superintendent  03-Other Salaries</v>
      </c>
    </row>
    <row r="9" spans="1:14" ht="24.95">
      <c r="A9" t="s">
        <v>93</v>
      </c>
      <c r="B9" s="21">
        <v>1210</v>
      </c>
      <c r="C9" s="21" t="s">
        <v>183</v>
      </c>
      <c r="D9" t="s">
        <v>170</v>
      </c>
      <c r="E9" s="21" t="str">
        <f t="shared" si="0"/>
        <v>Contracted Services</v>
      </c>
      <c r="F9" t="str">
        <f t="shared" si="1"/>
        <v>1210-04</v>
      </c>
      <c r="G9" t="str">
        <f t="shared" si="2"/>
        <v>1210-Superintendent  04-Contracted Services</v>
      </c>
    </row>
    <row r="10" spans="1:14" ht="24.95">
      <c r="A10" t="s">
        <v>93</v>
      </c>
      <c r="B10" s="21">
        <v>1210</v>
      </c>
      <c r="C10" s="21" t="s">
        <v>183</v>
      </c>
      <c r="D10" t="s">
        <v>174</v>
      </c>
      <c r="E10" s="21" t="str">
        <f t="shared" si="0"/>
        <v>Supplies and Materials</v>
      </c>
      <c r="F10" t="str">
        <f t="shared" si="1"/>
        <v>1210-05</v>
      </c>
      <c r="G10" t="str">
        <f t="shared" si="2"/>
        <v>1210-Superintendent  05-Supplies and Materials</v>
      </c>
    </row>
    <row r="11" spans="1:14" ht="24.95">
      <c r="A11" t="s">
        <v>93</v>
      </c>
      <c r="B11" s="21">
        <v>1210</v>
      </c>
      <c r="C11" s="21" t="s">
        <v>183</v>
      </c>
      <c r="D11" t="s">
        <v>167</v>
      </c>
      <c r="E11" s="21" t="str">
        <f t="shared" si="0"/>
        <v>Other Expenses</v>
      </c>
      <c r="F11" t="str">
        <f t="shared" si="1"/>
        <v>1210-06</v>
      </c>
      <c r="G11" t="str">
        <f t="shared" si="2"/>
        <v>1210-Superintendent  06-Other Expenses</v>
      </c>
    </row>
    <row r="12" spans="1:14">
      <c r="B12" s="21"/>
      <c r="C12" s="21"/>
    </row>
  </sheetData>
  <sheetProtection algorithmName="SHA-512" hashValue="6W3GXQjyxDTFG1J68gazTCPGhMHDdKEFEDO14NJPZvAMF9HB41acQKx3Kl1yio7oTgUhEeKPc9mRTD3J/SoBsg==" saltValue="1sse8aUtnSX2BE+gwSXpNw=="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4FFF08-0EA1-4183-8E80-BC7AFD7F2F87}"/>
</file>

<file path=customXml/itemProps2.xml><?xml version="1.0" encoding="utf-8"?>
<ds:datastoreItem xmlns:ds="http://schemas.openxmlformats.org/officeDocument/2006/customXml" ds:itemID="{E33BEB7F-8037-483B-99C0-C94477C8D1D4}"/>
</file>

<file path=customXml/itemProps3.xml><?xml version="1.0" encoding="utf-8"?>
<ds:datastoreItem xmlns:ds="http://schemas.openxmlformats.org/officeDocument/2006/customXml" ds:itemID="{283F407D-ED79-4E23-9165-FB6125D8725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Foley, Kinnon (DESE)</dc:creator>
  <cp:keywords/>
  <dc:description/>
  <cp:lastModifiedBy>Foley, Kinnon (DESE)</cp:lastModifiedBy>
  <cp:revision>5</cp:revision>
  <dcterms:created xsi:type="dcterms:W3CDTF">2023-12-11T19:11:32Z</dcterms:created>
  <dcterms:modified xsi:type="dcterms:W3CDTF">2024-04-18T18:32:40Z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ies>
</file>