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G:\24Status\SOA FY25-FY27 Submission\"/>
    </mc:Choice>
  </mc:AlternateContent>
  <xr:revisionPtr revIDLastSave="0" documentId="13_ncr:1_{115A7810-1C61-478E-A8D0-D895C2F0D8C0}" xr6:coauthVersionLast="47" xr6:coauthVersionMax="47" xr10:uidLastSave="{00000000-0000-0000-0000-000000000000}"/>
  <workbookProtection workbookAlgorithmName="SHA-512" workbookHashValue="qKmfk8ENnVpDESwQ/m/JfVPqGOsaywSnd617Img4EBtxGmUagILvWR89OlccYYGtLGsmTuMWGFxclEPfIjD18g==" workbookSaltValue="nCnKwk5Bl1sbIPuTXdV5CQ==" workbookSpinCount="100000" lockStructure="1"/>
  <bookViews>
    <workbookView xWindow="28680" yWindow="-120" windowWidth="29040" windowHeight="15720" tabRatio="500" firstSheet="1"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8" i="2" l="1"/>
  <c r="M51" i="2"/>
  <c r="M47" i="2"/>
  <c r="K47" i="2" l="1"/>
  <c r="M90" i="2"/>
  <c r="M91" i="2" s="1"/>
  <c r="M81" i="2"/>
  <c r="M76" i="2"/>
  <c r="M72" i="2"/>
  <c r="M64" i="2"/>
  <c r="M57" i="2"/>
  <c r="M45" i="2"/>
  <c r="M34" i="2"/>
  <c r="M27" i="2"/>
  <c r="M21" i="2"/>
  <c r="M16" i="2"/>
  <c r="K90" i="2"/>
  <c r="K81" i="2"/>
  <c r="K76" i="2"/>
  <c r="K72" i="2"/>
  <c r="K64" i="2"/>
  <c r="K57" i="2"/>
  <c r="K51" i="2"/>
  <c r="K45" i="2"/>
  <c r="K34" i="2"/>
  <c r="K27" i="2"/>
  <c r="K21" i="2"/>
  <c r="K16" i="2"/>
  <c r="M10" i="2"/>
  <c r="K10" i="2"/>
  <c r="I10" i="2"/>
  <c r="I16" i="2"/>
  <c r="I17" i="2" s="1"/>
  <c r="I21" i="2"/>
  <c r="I22" i="2" s="1"/>
  <c r="I27" i="2"/>
  <c r="I34" i="2"/>
  <c r="I45" i="2"/>
  <c r="K46" i="2" s="1"/>
  <c r="I51" i="2"/>
  <c r="I57" i="2"/>
  <c r="I64" i="2"/>
  <c r="I72" i="2"/>
  <c r="I73" i="2" s="1"/>
  <c r="I76" i="2"/>
  <c r="K77" i="2" s="1"/>
  <c r="L87" i="2"/>
  <c r="J87" i="2"/>
  <c r="L78" i="2"/>
  <c r="J78" i="2"/>
  <c r="L74" i="2"/>
  <c r="J74" i="2"/>
  <c r="L69" i="2"/>
  <c r="J69" i="2"/>
  <c r="J73" i="2" s="1"/>
  <c r="L60" i="2"/>
  <c r="G7" i="4" s="1"/>
  <c r="L61" i="2"/>
  <c r="L59" i="2"/>
  <c r="L65" i="2" s="1"/>
  <c r="J60" i="2"/>
  <c r="J65" i="2" s="1"/>
  <c r="J61" i="2"/>
  <c r="J59" i="2"/>
  <c r="L53" i="2"/>
  <c r="L58" i="2" s="1"/>
  <c r="J53" i="2"/>
  <c r="L47" i="2"/>
  <c r="J47" i="2"/>
  <c r="L42" i="2"/>
  <c r="J42" i="2"/>
  <c r="M89" i="2"/>
  <c r="M88" i="2"/>
  <c r="M87" i="2"/>
  <c r="M85" i="2"/>
  <c r="H6" i="4" s="1"/>
  <c r="M84" i="2"/>
  <c r="M83" i="2"/>
  <c r="M82" i="2"/>
  <c r="M80" i="2"/>
  <c r="M79" i="2"/>
  <c r="M78" i="2"/>
  <c r="M75" i="2"/>
  <c r="M74" i="2"/>
  <c r="M71" i="2"/>
  <c r="M70" i="2"/>
  <c r="M69" i="2"/>
  <c r="M67" i="2"/>
  <c r="M66" i="2"/>
  <c r="M60" i="2"/>
  <c r="M61" i="2"/>
  <c r="M62" i="2"/>
  <c r="M63" i="2"/>
  <c r="M59" i="2"/>
  <c r="M54" i="2"/>
  <c r="M55" i="2"/>
  <c r="H13" i="4" s="1"/>
  <c r="M56" i="2"/>
  <c r="M43" i="2"/>
  <c r="M44" i="2"/>
  <c r="M42" i="2"/>
  <c r="M36" i="2"/>
  <c r="K89" i="2"/>
  <c r="K88" i="2"/>
  <c r="K87" i="2"/>
  <c r="K91" i="2" s="1"/>
  <c r="K85" i="2"/>
  <c r="K86" i="2" s="1"/>
  <c r="K84" i="2"/>
  <c r="K83" i="2"/>
  <c r="K82" i="2"/>
  <c r="K80" i="2"/>
  <c r="K79" i="2"/>
  <c r="K78" i="2"/>
  <c r="K75" i="2"/>
  <c r="K74" i="2"/>
  <c r="K71" i="2"/>
  <c r="K70" i="2"/>
  <c r="K69" i="2"/>
  <c r="K67" i="2"/>
  <c r="F18" i="4" s="1"/>
  <c r="K66" i="2"/>
  <c r="K65" i="2"/>
  <c r="K63" i="2"/>
  <c r="K62" i="2"/>
  <c r="F17" i="4" s="1"/>
  <c r="K61" i="2"/>
  <c r="F19" i="4" s="1"/>
  <c r="K60" i="2"/>
  <c r="K59" i="2"/>
  <c r="K56" i="2"/>
  <c r="K55" i="2"/>
  <c r="K54" i="2"/>
  <c r="K53" i="2"/>
  <c r="M53" i="2" s="1"/>
  <c r="H11" i="4" s="1"/>
  <c r="K52" i="2"/>
  <c r="K50" i="2"/>
  <c r="K49" i="2"/>
  <c r="K48" i="2"/>
  <c r="K44" i="2"/>
  <c r="K43" i="2"/>
  <c r="K42" i="2"/>
  <c r="K40" i="2"/>
  <c r="K39" i="2"/>
  <c r="M37" i="2"/>
  <c r="H8" i="4" s="1"/>
  <c r="K37" i="2"/>
  <c r="K36" i="2"/>
  <c r="M30" i="2"/>
  <c r="M31" i="2"/>
  <c r="M32" i="2"/>
  <c r="H14" i="4" s="1"/>
  <c r="M33" i="2"/>
  <c r="M29" i="2"/>
  <c r="K30" i="2"/>
  <c r="K31" i="2"/>
  <c r="K32" i="2"/>
  <c r="K33" i="2"/>
  <c r="F21" i="4" s="1"/>
  <c r="K29" i="2"/>
  <c r="L30" i="2"/>
  <c r="J30" i="2"/>
  <c r="M24" i="2"/>
  <c r="M25" i="2"/>
  <c r="M26" i="2"/>
  <c r="M23" i="2"/>
  <c r="K24" i="2"/>
  <c r="K25" i="2"/>
  <c r="K26" i="2"/>
  <c r="K23" i="2"/>
  <c r="L23" i="2"/>
  <c r="J23" i="2"/>
  <c r="M19" i="2"/>
  <c r="M20" i="2"/>
  <c r="M18" i="2"/>
  <c r="L18" i="2"/>
  <c r="K19" i="2"/>
  <c r="K20" i="2"/>
  <c r="K18" i="2"/>
  <c r="J18" i="2"/>
  <c r="M13" i="2"/>
  <c r="M14" i="2"/>
  <c r="M15" i="2"/>
  <c r="M12" i="2"/>
  <c r="K13" i="2"/>
  <c r="K14" i="2"/>
  <c r="F15" i="4" s="1"/>
  <c r="K15" i="2"/>
  <c r="K12" i="2"/>
  <c r="L13" i="2"/>
  <c r="L12" i="2"/>
  <c r="J13" i="2"/>
  <c r="J12" i="2"/>
  <c r="M6" i="2"/>
  <c r="M7" i="2"/>
  <c r="M8" i="2"/>
  <c r="M9" i="2"/>
  <c r="M5" i="2"/>
  <c r="K11" i="2"/>
  <c r="K6" i="2"/>
  <c r="K7" i="2"/>
  <c r="K8" i="2"/>
  <c r="K9" i="2"/>
  <c r="K5" i="2"/>
  <c r="L5" i="2"/>
  <c r="J5" i="2"/>
  <c r="I81" i="2"/>
  <c r="I82" i="2" s="1"/>
  <c r="I60" i="2"/>
  <c r="D7" i="4"/>
  <c r="H60" i="2"/>
  <c r="L35" i="2"/>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G25" i="6"/>
  <c r="F25" i="6"/>
  <c r="A25" i="6"/>
  <c r="F24" i="6"/>
  <c r="G24" i="6" s="1"/>
  <c r="A24" i="6"/>
  <c r="F23" i="6"/>
  <c r="G23" i="6" s="1"/>
  <c r="A23" i="6"/>
  <c r="F22" i="6"/>
  <c r="G22" i="6" s="1"/>
  <c r="A22" i="6"/>
  <c r="F21" i="6"/>
  <c r="G21" i="6" s="1"/>
  <c r="A21" i="6"/>
  <c r="G20" i="6"/>
  <c r="F20" i="6"/>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G9" i="6"/>
  <c r="F9" i="6"/>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G21" i="4"/>
  <c r="E21" i="4"/>
  <c r="D21" i="4"/>
  <c r="C21" i="4"/>
  <c r="H20" i="4"/>
  <c r="G20" i="4"/>
  <c r="F20" i="4"/>
  <c r="E20" i="4"/>
  <c r="D20" i="4"/>
  <c r="C20" i="4"/>
  <c r="H19" i="4"/>
  <c r="G19" i="4"/>
  <c r="E19" i="4"/>
  <c r="D19" i="4"/>
  <c r="C19" i="4"/>
  <c r="H18" i="4"/>
  <c r="G18" i="4"/>
  <c r="E18" i="4"/>
  <c r="D18" i="4"/>
  <c r="C18" i="4"/>
  <c r="H17" i="4"/>
  <c r="G17" i="4"/>
  <c r="E17" i="4"/>
  <c r="D17" i="4"/>
  <c r="C17" i="4"/>
  <c r="H16" i="4"/>
  <c r="G16" i="4"/>
  <c r="F16" i="4"/>
  <c r="E16" i="4"/>
  <c r="D16" i="4"/>
  <c r="C16" i="4"/>
  <c r="G15" i="4"/>
  <c r="E15" i="4"/>
  <c r="D15" i="4"/>
  <c r="C15" i="4"/>
  <c r="G14" i="4"/>
  <c r="F14" i="4"/>
  <c r="E14" i="4"/>
  <c r="D14" i="4"/>
  <c r="C14" i="4"/>
  <c r="G13" i="4"/>
  <c r="F13" i="4"/>
  <c r="E13" i="4"/>
  <c r="D13" i="4"/>
  <c r="C13" i="4"/>
  <c r="H12" i="4"/>
  <c r="G12" i="4"/>
  <c r="E12" i="4"/>
  <c r="D12" i="4"/>
  <c r="C12" i="4"/>
  <c r="F11" i="4"/>
  <c r="E11" i="4"/>
  <c r="D11" i="4"/>
  <c r="C11" i="4"/>
  <c r="H10" i="4"/>
  <c r="G10" i="4"/>
  <c r="F10" i="4"/>
  <c r="E10" i="4"/>
  <c r="D10" i="4"/>
  <c r="C10" i="4"/>
  <c r="G9" i="4"/>
  <c r="E9" i="4"/>
  <c r="C9" i="4"/>
  <c r="G8" i="4"/>
  <c r="F8" i="4"/>
  <c r="E8" i="4"/>
  <c r="D8" i="4"/>
  <c r="C8" i="4"/>
  <c r="C7" i="4"/>
  <c r="G6" i="4"/>
  <c r="E6" i="4"/>
  <c r="D6" i="4"/>
  <c r="C6" i="4"/>
  <c r="H5" i="4"/>
  <c r="E5" i="4"/>
  <c r="D5" i="4"/>
  <c r="C5" i="4"/>
  <c r="H4" i="4"/>
  <c r="G4" i="4"/>
  <c r="F4" i="4"/>
  <c r="E4" i="4"/>
  <c r="D4" i="4"/>
  <c r="C4" i="4"/>
  <c r="T93" i="2"/>
  <c r="P93" i="2"/>
  <c r="T92" i="2"/>
  <c r="P92" i="2"/>
  <c r="T91" i="2"/>
  <c r="P91" i="2"/>
  <c r="R91" i="2" s="1"/>
  <c r="L91" i="2"/>
  <c r="J91" i="2"/>
  <c r="I91" i="2"/>
  <c r="H91" i="2"/>
  <c r="P90" i="2"/>
  <c r="P89" i="2"/>
  <c r="P88" i="2"/>
  <c r="P87" i="2"/>
  <c r="T86" i="2"/>
  <c r="P86" i="2"/>
  <c r="I86" i="2"/>
  <c r="P85" i="2"/>
  <c r="P84" i="2"/>
  <c r="P83" i="2"/>
  <c r="T82" i="2"/>
  <c r="P82" i="2"/>
  <c r="L82" i="2"/>
  <c r="J82" i="2"/>
  <c r="H82" i="2"/>
  <c r="P81" i="2"/>
  <c r="P80" i="2"/>
  <c r="P79" i="2"/>
  <c r="P78" i="2"/>
  <c r="T77" i="2"/>
  <c r="P77" i="2"/>
  <c r="L77" i="2"/>
  <c r="J77" i="2"/>
  <c r="I77" i="2"/>
  <c r="H77" i="2"/>
  <c r="P76" i="2"/>
  <c r="P75" i="2"/>
  <c r="P74" i="2"/>
  <c r="Q74" i="2" s="1"/>
  <c r="C74" i="2" s="1"/>
  <c r="T73" i="2"/>
  <c r="P73" i="2"/>
  <c r="L73" i="2"/>
  <c r="H73" i="2"/>
  <c r="P72" i="2"/>
  <c r="P71" i="2"/>
  <c r="P70" i="2"/>
  <c r="P69" i="2"/>
  <c r="T68" i="2"/>
  <c r="P68" i="2"/>
  <c r="M68" i="2"/>
  <c r="I68" i="2"/>
  <c r="P67" i="2"/>
  <c r="P66" i="2"/>
  <c r="T65" i="2"/>
  <c r="P65" i="2"/>
  <c r="I65" i="2"/>
  <c r="H65" i="2"/>
  <c r="P64" i="2"/>
  <c r="P63" i="2"/>
  <c r="P62" i="2"/>
  <c r="P61" i="2"/>
  <c r="P60" i="2"/>
  <c r="P59" i="2"/>
  <c r="T58" i="2"/>
  <c r="P58" i="2"/>
  <c r="J58" i="2"/>
  <c r="P57" i="2"/>
  <c r="P56" i="2"/>
  <c r="P55" i="2"/>
  <c r="Q55" i="2" s="1"/>
  <c r="C55" i="2" s="1"/>
  <c r="P54" i="2"/>
  <c r="R54" i="2" s="1"/>
  <c r="D54" i="2" s="1"/>
  <c r="T54" i="2" s="1"/>
  <c r="P53" i="2"/>
  <c r="T52" i="2"/>
  <c r="P52" i="2"/>
  <c r="M52" i="2"/>
  <c r="L52" i="2"/>
  <c r="J52" i="2"/>
  <c r="I52" i="2"/>
  <c r="H52" i="2"/>
  <c r="P51" i="2"/>
  <c r="P50" i="2"/>
  <c r="P49" i="2"/>
  <c r="P48" i="2"/>
  <c r="P47" i="2"/>
  <c r="T46" i="2"/>
  <c r="P46" i="2"/>
  <c r="L46" i="2"/>
  <c r="J46" i="2"/>
  <c r="H46" i="2"/>
  <c r="P45" i="2"/>
  <c r="P44" i="2"/>
  <c r="P43" i="2"/>
  <c r="P42" i="2"/>
  <c r="T41" i="2"/>
  <c r="P41" i="2"/>
  <c r="M41" i="2"/>
  <c r="K41" i="2"/>
  <c r="I41" i="2"/>
  <c r="P40" i="2"/>
  <c r="P39" i="2"/>
  <c r="T38" i="2"/>
  <c r="P38" i="2"/>
  <c r="K38" i="2"/>
  <c r="I38" i="2"/>
  <c r="P37" i="2"/>
  <c r="P36" i="2"/>
  <c r="R36" i="2" s="1"/>
  <c r="D36" i="2" s="1"/>
  <c r="T36" i="2" s="1"/>
  <c r="T35" i="2"/>
  <c r="Q35" i="2"/>
  <c r="P35" i="2"/>
  <c r="I35" i="2"/>
  <c r="P34" i="2"/>
  <c r="P33" i="2"/>
  <c r="P32" i="2"/>
  <c r="P31" i="2"/>
  <c r="P30" i="2"/>
  <c r="P29" i="2"/>
  <c r="T28" i="2"/>
  <c r="P28" i="2"/>
  <c r="Q28" i="2" s="1"/>
  <c r="L28" i="2"/>
  <c r="J28" i="2"/>
  <c r="I28" i="2"/>
  <c r="H28" i="2"/>
  <c r="P27" i="2"/>
  <c r="Q27" i="2" s="1"/>
  <c r="C27" i="2" s="1"/>
  <c r="P26" i="2"/>
  <c r="Q26" i="2" s="1"/>
  <c r="C26" i="2" s="1"/>
  <c r="P25" i="2"/>
  <c r="P24" i="2"/>
  <c r="P23" i="2"/>
  <c r="R23" i="2" s="1"/>
  <c r="D23" i="2" s="1"/>
  <c r="T23" i="2" s="1"/>
  <c r="T22" i="2"/>
  <c r="P22" i="2"/>
  <c r="L22" i="2"/>
  <c r="J22" i="2"/>
  <c r="H22" i="2"/>
  <c r="P21" i="2"/>
  <c r="P20" i="2"/>
  <c r="P19" i="2"/>
  <c r="P18" i="2"/>
  <c r="T17" i="2"/>
  <c r="P17" i="2"/>
  <c r="L17" i="2"/>
  <c r="J17" i="2"/>
  <c r="H17" i="2"/>
  <c r="P16" i="2"/>
  <c r="R16" i="2" s="1"/>
  <c r="D16" i="2" s="1"/>
  <c r="T16" i="2" s="1"/>
  <c r="P15" i="2"/>
  <c r="P14" i="2"/>
  <c r="P13" i="2"/>
  <c r="P12" i="2"/>
  <c r="T11" i="2"/>
  <c r="P11" i="2"/>
  <c r="L11" i="2"/>
  <c r="J11" i="2"/>
  <c r="I11" i="2"/>
  <c r="H11" i="2"/>
  <c r="P10" i="2"/>
  <c r="R10" i="2" s="1"/>
  <c r="D10" i="2" s="1"/>
  <c r="T10" i="2" s="1"/>
  <c r="P9" i="2"/>
  <c r="Q9" i="2" s="1"/>
  <c r="C9" i="2" s="1"/>
  <c r="P8" i="2"/>
  <c r="R8" i="2" s="1"/>
  <c r="D8" i="2" s="1"/>
  <c r="T8" i="2" s="1"/>
  <c r="P7" i="2"/>
  <c r="P6" i="2"/>
  <c r="P5" i="2"/>
  <c r="H15" i="4" l="1"/>
  <c r="K22" i="2"/>
  <c r="I46" i="2"/>
  <c r="I58" i="2"/>
  <c r="K73" i="2"/>
  <c r="M77" i="2"/>
  <c r="N77" i="2" s="1"/>
  <c r="M73" i="2"/>
  <c r="N73" i="2" s="1"/>
  <c r="M65" i="2"/>
  <c r="N65" i="2" s="1"/>
  <c r="M46" i="2"/>
  <c r="N46" i="2" s="1"/>
  <c r="M35" i="2"/>
  <c r="M28" i="2"/>
  <c r="M17" i="2"/>
  <c r="M11" i="2"/>
  <c r="N11" i="2" s="1"/>
  <c r="K58" i="2"/>
  <c r="M58" i="2"/>
  <c r="G5" i="4"/>
  <c r="E7" i="4"/>
  <c r="E23" i="4" s="1"/>
  <c r="G11" i="4"/>
  <c r="M86" i="2"/>
  <c r="N86" i="2" s="1"/>
  <c r="F5" i="4"/>
  <c r="F6" i="4"/>
  <c r="F7" i="4"/>
  <c r="K68" i="2"/>
  <c r="N68" i="2" s="1"/>
  <c r="F9" i="4"/>
  <c r="M38" i="2"/>
  <c r="K35" i="2"/>
  <c r="F12" i="4"/>
  <c r="H21" i="4"/>
  <c r="K28" i="2"/>
  <c r="H7" i="4"/>
  <c r="K17" i="2"/>
  <c r="D9" i="4"/>
  <c r="D23" i="4" s="1"/>
  <c r="R67" i="2"/>
  <c r="D67" i="2" s="1"/>
  <c r="T67" i="2" s="1"/>
  <c r="R38" i="2"/>
  <c r="R93" i="2"/>
  <c r="R49" i="2"/>
  <c r="D49" i="2" s="1"/>
  <c r="T49" i="2" s="1"/>
  <c r="Q50" i="2"/>
  <c r="C50" i="2" s="1"/>
  <c r="Q85" i="2"/>
  <c r="R21" i="2"/>
  <c r="D21" i="2" s="1"/>
  <c r="T21" i="2" s="1"/>
  <c r="R28" i="2"/>
  <c r="S28" i="2" s="1"/>
  <c r="R40" i="2"/>
  <c r="D40" i="2" s="1"/>
  <c r="T40" i="2" s="1"/>
  <c r="R50" i="2"/>
  <c r="D50" i="2" s="1"/>
  <c r="T50" i="2" s="1"/>
  <c r="R58" i="2"/>
  <c r="R85" i="2"/>
  <c r="D85" i="2" s="1"/>
  <c r="T85" i="2" s="1"/>
  <c r="R12" i="2"/>
  <c r="D12" i="2" s="1"/>
  <c r="T12" i="2" s="1"/>
  <c r="N41" i="2"/>
  <c r="Q13" i="2"/>
  <c r="C13" i="2" s="1"/>
  <c r="R59" i="2"/>
  <c r="D59" i="2" s="1"/>
  <c r="T59" i="2" s="1"/>
  <c r="R55" i="2"/>
  <c r="D55" i="2" s="1"/>
  <c r="T55" i="2" s="1"/>
  <c r="R57" i="2"/>
  <c r="D57" i="2" s="1"/>
  <c r="T57" i="2" s="1"/>
  <c r="Q82" i="2"/>
  <c r="Q19" i="2"/>
  <c r="C19" i="2" s="1"/>
  <c r="Q67" i="2"/>
  <c r="C67" i="2" s="1"/>
  <c r="R19" i="2"/>
  <c r="S19" i="2" s="1"/>
  <c r="R20" i="2"/>
  <c r="D20" i="2" s="1"/>
  <c r="T20" i="2" s="1"/>
  <c r="R31" i="2"/>
  <c r="D31" i="2" s="1"/>
  <c r="T31" i="2" s="1"/>
  <c r="R62" i="2"/>
  <c r="D62" i="2" s="1"/>
  <c r="T62" i="2" s="1"/>
  <c r="R15" i="2"/>
  <c r="D15" i="2" s="1"/>
  <c r="T15" i="2" s="1"/>
  <c r="Q77" i="2"/>
  <c r="R88" i="2"/>
  <c r="D88" i="2" s="1"/>
  <c r="T88" i="2" s="1"/>
  <c r="R43" i="2"/>
  <c r="D43" i="2" s="1"/>
  <c r="T43" i="2" s="1"/>
  <c r="Q63" i="2"/>
  <c r="R89" i="2"/>
  <c r="D89" i="2" s="1"/>
  <c r="T89" i="2" s="1"/>
  <c r="Q16" i="2"/>
  <c r="C16" i="2" s="1"/>
  <c r="R34" i="2"/>
  <c r="D34" i="2" s="1"/>
  <c r="T34" i="2" s="1"/>
  <c r="R79" i="2"/>
  <c r="D79" i="2" s="1"/>
  <c r="T79" i="2" s="1"/>
  <c r="Q23" i="2"/>
  <c r="C23" i="2" s="1"/>
  <c r="R53" i="2"/>
  <c r="D53" i="2" s="1"/>
  <c r="T53" i="2" s="1"/>
  <c r="R81" i="2"/>
  <c r="D81" i="2" s="1"/>
  <c r="T81" i="2" s="1"/>
  <c r="Q17" i="2"/>
  <c r="S17" i="2" s="1"/>
  <c r="R17" i="2"/>
  <c r="R92" i="2"/>
  <c r="Q18" i="2"/>
  <c r="C18" i="2" s="1"/>
  <c r="R74" i="2"/>
  <c r="D74" i="2" s="1"/>
  <c r="T74" i="2" s="1"/>
  <c r="R84" i="2"/>
  <c r="D84" i="2" s="1"/>
  <c r="T84" i="2" s="1"/>
  <c r="Q75" i="2"/>
  <c r="C75" i="2" s="1"/>
  <c r="Q84" i="2"/>
  <c r="C84" i="2" s="1"/>
  <c r="Q60" i="2"/>
  <c r="C60" i="2" s="1"/>
  <c r="R86" i="2"/>
  <c r="Q45" i="2"/>
  <c r="C45" i="2" s="1"/>
  <c r="R72" i="2"/>
  <c r="D72" i="2" s="1"/>
  <c r="T72" i="2" s="1"/>
  <c r="Q80" i="2"/>
  <c r="R6" i="2"/>
  <c r="D6" i="2" s="1"/>
  <c r="T6" i="2" s="1"/>
  <c r="Q65" i="2"/>
  <c r="Q92" i="2"/>
  <c r="R47" i="2"/>
  <c r="D47" i="2" s="1"/>
  <c r="T47" i="2" s="1"/>
  <c r="R83" i="2"/>
  <c r="D83" i="2" s="1"/>
  <c r="T83" i="2" s="1"/>
  <c r="R48" i="2"/>
  <c r="D48" i="2" s="1"/>
  <c r="T48" i="2" s="1"/>
  <c r="Q11" i="2"/>
  <c r="R30" i="2"/>
  <c r="D30" i="2" s="1"/>
  <c r="T30" i="2" s="1"/>
  <c r="R69" i="2"/>
  <c r="D69" i="2" s="1"/>
  <c r="T69" i="2" s="1"/>
  <c r="Q14" i="2"/>
  <c r="C14" i="2" s="1"/>
  <c r="Q69" i="2"/>
  <c r="R14" i="2"/>
  <c r="D14" i="2" s="1"/>
  <c r="T14" i="2" s="1"/>
  <c r="R42" i="2"/>
  <c r="D42" i="2" s="1"/>
  <c r="T42" i="2" s="1"/>
  <c r="Q62" i="2"/>
  <c r="S62" i="2" s="1"/>
  <c r="Q70" i="2"/>
  <c r="C70" i="2" s="1"/>
  <c r="Q87" i="2"/>
  <c r="C87" i="2" s="1"/>
  <c r="Q22" i="2"/>
  <c r="R33" i="2"/>
  <c r="D33" i="2" s="1"/>
  <c r="T33" i="2" s="1"/>
  <c r="Q42" i="2"/>
  <c r="S42" i="2" s="1"/>
  <c r="R70" i="2"/>
  <c r="D70" i="2" s="1"/>
  <c r="T70" i="2" s="1"/>
  <c r="Q33" i="2"/>
  <c r="S33" i="2" s="1"/>
  <c r="R52" i="2"/>
  <c r="R44" i="2"/>
  <c r="D44" i="2" s="1"/>
  <c r="T44" i="2" s="1"/>
  <c r="R63" i="2"/>
  <c r="D63" i="2" s="1"/>
  <c r="T63" i="2" s="1"/>
  <c r="Q90" i="2"/>
  <c r="R90" i="2"/>
  <c r="D90" i="2" s="1"/>
  <c r="T90" i="2" s="1"/>
  <c r="R5" i="2"/>
  <c r="D5" i="2" s="1"/>
  <c r="T5" i="2" s="1"/>
  <c r="R45" i="2"/>
  <c r="S45" i="2" s="1"/>
  <c r="Q72" i="2"/>
  <c r="Q24" i="2"/>
  <c r="C24" i="2" s="1"/>
  <c r="Q54" i="2"/>
  <c r="S54" i="2" s="1"/>
  <c r="R7" i="2"/>
  <c r="D7" i="2" s="1"/>
  <c r="T7" i="2" s="1"/>
  <c r="R25" i="2"/>
  <c r="D25" i="2" s="1"/>
  <c r="T25" i="2" s="1"/>
  <c r="R35" i="2"/>
  <c r="S35" i="2" s="1"/>
  <c r="Q86" i="2"/>
  <c r="Q91" i="2"/>
  <c r="S91" i="2" s="1"/>
  <c r="Q8" i="2"/>
  <c r="C8" i="2" s="1"/>
  <c r="S50" i="2"/>
  <c r="Q59" i="2"/>
  <c r="C59" i="2" s="1"/>
  <c r="S63" i="2"/>
  <c r="S70" i="2"/>
  <c r="Q79" i="2"/>
  <c r="C79" i="2" s="1"/>
  <c r="Q38" i="2"/>
  <c r="S38" i="2" s="1"/>
  <c r="Q44" i="2"/>
  <c r="C44" i="2" s="1"/>
  <c r="R65" i="2"/>
  <c r="R80" i="2"/>
  <c r="D80" i="2" s="1"/>
  <c r="T80" i="2" s="1"/>
  <c r="R87" i="2"/>
  <c r="D87" i="2" s="1"/>
  <c r="T87" i="2" s="1"/>
  <c r="N91" i="2"/>
  <c r="Q6" i="2"/>
  <c r="S6" i="2" s="1"/>
  <c r="R18" i="2"/>
  <c r="D18" i="2" s="1"/>
  <c r="T18" i="2" s="1"/>
  <c r="Q21" i="2"/>
  <c r="C21" i="2" s="1"/>
  <c r="Q36" i="2"/>
  <c r="C36" i="2" s="1"/>
  <c r="Q49" i="2"/>
  <c r="Q53" i="2"/>
  <c r="R60" i="2"/>
  <c r="R75" i="2"/>
  <c r="D75" i="2" s="1"/>
  <c r="T75" i="2" s="1"/>
  <c r="R82" i="2"/>
  <c r="R26" i="2"/>
  <c r="D26" i="2" s="1"/>
  <c r="T26" i="2" s="1"/>
  <c r="Q31" i="2"/>
  <c r="S31" i="2" s="1"/>
  <c r="D45" i="2"/>
  <c r="T45" i="2" s="1"/>
  <c r="Q57" i="2"/>
  <c r="C57" i="2" s="1"/>
  <c r="Q58" i="2"/>
  <c r="R77" i="2"/>
  <c r="S77" i="2" s="1"/>
  <c r="S16" i="2"/>
  <c r="N52" i="2"/>
  <c r="R13" i="2"/>
  <c r="D13" i="2" s="1"/>
  <c r="T13" i="2" s="1"/>
  <c r="N82" i="2"/>
  <c r="C23" i="4"/>
  <c r="R51" i="2"/>
  <c r="D51" i="2" s="1"/>
  <c r="T51" i="2" s="1"/>
  <c r="Q51" i="2"/>
  <c r="C54" i="2"/>
  <c r="S55" i="2"/>
  <c r="S58" i="2"/>
  <c r="L93" i="2"/>
  <c r="Q5" i="2"/>
  <c r="Q25" i="2"/>
  <c r="Q30" i="2"/>
  <c r="Q34" i="2"/>
  <c r="R41" i="2"/>
  <c r="Q41" i="2"/>
  <c r="Q43" i="2"/>
  <c r="Q47" i="2"/>
  <c r="R68" i="2"/>
  <c r="Q68" i="2"/>
  <c r="S68" i="2" s="1"/>
  <c r="H93" i="2"/>
  <c r="R32" i="2"/>
  <c r="D32" i="2" s="1"/>
  <c r="T32" i="2" s="1"/>
  <c r="Q32" i="2"/>
  <c r="R56" i="2"/>
  <c r="D56" i="2" s="1"/>
  <c r="T56" i="2" s="1"/>
  <c r="Q56" i="2"/>
  <c r="R73" i="2"/>
  <c r="Q73" i="2"/>
  <c r="S73" i="2" s="1"/>
  <c r="R37" i="2"/>
  <c r="D37" i="2" s="1"/>
  <c r="T37" i="2" s="1"/>
  <c r="Q37" i="2"/>
  <c r="Q40" i="2"/>
  <c r="Q52" i="2"/>
  <c r="S52" i="2" s="1"/>
  <c r="R78" i="2"/>
  <c r="D78" i="2" s="1"/>
  <c r="T78" i="2" s="1"/>
  <c r="Q78" i="2"/>
  <c r="J93" i="2"/>
  <c r="Q10" i="2"/>
  <c r="R24" i="2"/>
  <c r="D24" i="2" s="1"/>
  <c r="T24" i="2" s="1"/>
  <c r="R29" i="2"/>
  <c r="D29" i="2" s="1"/>
  <c r="T29" i="2" s="1"/>
  <c r="Q29" i="2"/>
  <c r="R46" i="2"/>
  <c r="Q46" i="2"/>
  <c r="S46" i="2" s="1"/>
  <c r="Q48" i="2"/>
  <c r="C63" i="2"/>
  <c r="S67" i="2"/>
  <c r="C69" i="2"/>
  <c r="R11" i="2"/>
  <c r="R22" i="2"/>
  <c r="R64" i="2"/>
  <c r="D64" i="2" s="1"/>
  <c r="T64" i="2" s="1"/>
  <c r="Q64" i="2"/>
  <c r="S72" i="2"/>
  <c r="C72" i="2"/>
  <c r="I27" i="6"/>
  <c r="Q7" i="2"/>
  <c r="Q12" i="2"/>
  <c r="Q15" i="2"/>
  <c r="R27" i="2"/>
  <c r="R61" i="2"/>
  <c r="D61" i="2" s="1"/>
  <c r="T61" i="2" s="1"/>
  <c r="Q61" i="2"/>
  <c r="C85" i="2"/>
  <c r="S85" i="2"/>
  <c r="S53" i="2"/>
  <c r="C53" i="2"/>
  <c r="R71" i="2"/>
  <c r="D71" i="2" s="1"/>
  <c r="T71" i="2" s="1"/>
  <c r="Q71" i="2"/>
  <c r="C80" i="2"/>
  <c r="R9" i="2"/>
  <c r="D9" i="2" s="1"/>
  <c r="T9" i="2" s="1"/>
  <c r="Q20" i="2"/>
  <c r="R39" i="2"/>
  <c r="D39" i="2" s="1"/>
  <c r="T39" i="2" s="1"/>
  <c r="Q39" i="2"/>
  <c r="S44" i="2"/>
  <c r="R66" i="2"/>
  <c r="D66" i="2" s="1"/>
  <c r="T66" i="2" s="1"/>
  <c r="Q66" i="2"/>
  <c r="R76" i="2"/>
  <c r="D76" i="2" s="1"/>
  <c r="T76" i="2" s="1"/>
  <c r="Q76" i="2"/>
  <c r="Q83" i="2"/>
  <c r="C90" i="2"/>
  <c r="Q93" i="2"/>
  <c r="S93" i="2" s="1"/>
  <c r="S84" i="2"/>
  <c r="I93" i="2"/>
  <c r="Q89" i="2"/>
  <c r="Q81" i="2"/>
  <c r="Q88" i="2"/>
  <c r="M22" i="2" l="1"/>
  <c r="M93" i="2" s="1"/>
  <c r="N35" i="2"/>
  <c r="N28" i="2"/>
  <c r="N17" i="2"/>
  <c r="H9" i="4"/>
  <c r="H23" i="4" s="1"/>
  <c r="N58" i="2"/>
  <c r="G23" i="4"/>
  <c r="F23" i="4"/>
  <c r="N38" i="2"/>
  <c r="K93" i="2"/>
  <c r="C33" i="2"/>
  <c r="S82" i="2"/>
  <c r="S59" i="2"/>
  <c r="S8" i="2"/>
  <c r="S13" i="2"/>
  <c r="S60" i="2"/>
  <c r="S69" i="2"/>
  <c r="S57" i="2"/>
  <c r="S86" i="2"/>
  <c r="S14" i="2"/>
  <c r="S22" i="2"/>
  <c r="S11" i="2"/>
  <c r="C42" i="2"/>
  <c r="C31" i="2"/>
  <c r="S74" i="2"/>
  <c r="S36" i="2"/>
  <c r="S87" i="2"/>
  <c r="S90" i="2"/>
  <c r="C6" i="2"/>
  <c r="C62" i="2"/>
  <c r="S23" i="2"/>
  <c r="S92" i="2"/>
  <c r="S65" i="2"/>
  <c r="S80" i="2"/>
  <c r="D19" i="2"/>
  <c r="T19" i="2" s="1"/>
  <c r="D60" i="2"/>
  <c r="T60" i="2" s="1"/>
  <c r="S9" i="2"/>
  <c r="S26" i="2"/>
  <c r="S79" i="2"/>
  <c r="S21" i="2"/>
  <c r="S49" i="2"/>
  <c r="C49" i="2"/>
  <c r="S75" i="2"/>
  <c r="S18"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N22" i="2" l="1"/>
  <c r="H31" i="4"/>
  <c r="H46" i="4" s="1"/>
  <c r="N93" i="2"/>
  <c r="D46" i="4"/>
  <c r="G46" i="4"/>
  <c r="F46" i="4"/>
  <c r="C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tc={A1F146B5-719D-4855-B83B-A88C1EC51107}</author>
  </authors>
  <commentList>
    <comment ref="A21" authorId="0" shapeId="0" xr:uid="{A1F146B5-719D-4855-B83B-A88C1EC51107}">
      <text>
        <t>[Threaded comment]
Your version of Excel allows you to read this threaded comment; however, any edits to it will get removed if the file is opened in a newer version of Excel. Learn more: https://go.microsoft.com/fwlink/?linkid=870924
Comment:
    The figures were determined from the FY25 Budget Draft, along with Grant Review to Determine Submission.  The final FY25 Budget is not complete SC approval June 20th.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tc={34E492A4-E2A4-4E6E-A646-62890940B25C}</author>
    <author>tc={B662080E-81EC-46EE-8857-0B48B3A0D4F9}</author>
  </authors>
  <commentList>
    <comment ref="I25" authorId="0" shapeId="0" xr:uid="{34E492A4-E2A4-4E6E-A646-62890940B25C}">
      <text>
        <t>[Threaded comment]
Your version of Excel allows you to read this threaded comment; however, any edits to it will get removed if the file is opened in a newer version of Excel. Learn more: https://go.microsoft.com/fwlink/?linkid=870924
Comment:
    ESSER Funded</t>
      </text>
    </comment>
    <comment ref="M53" authorId="1" shapeId="0" xr:uid="{B662080E-81EC-46EE-8857-0B48B3A0D4F9}">
      <text>
        <t>[Threaded comment]
Your version of Excel allows you to read this threaded comment; however, any edits to it will get removed if the file is opened in a newer version of Excel. Learn more: https://go.microsoft.com/fwlink/?linkid=870924
Comment:
    FY27 (Year 3) is protected above 2.2D - No data can be entered.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<sst xmlns="http://schemas.openxmlformats.org/spreadsheetml/2006/main" count="597" uniqueCount="185">
  <si>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</si>
  <si>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</si>
  <si>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One of the largest factors influencing the district funding is the additional Chapter 70 funds and the ability to provide instruction, programs and service for students.  Given the amount of ESSER funding provided, the district previously utilized these funds to sustain existing staff and programs (through the hold harmless funding plan) and were able to accelerate the Student Opportunity Act (SOA) and Strategic Plan initiatives in the district.  Worcester Public Schools have used previous SOA funding to focus on expanded learning opportunities, improved wraparound services for student’s social-emotional needs, increased and improved professional development, and through ESSER funds purchased high-quality, evidence-based curricular materials.  Worcester Public Schools will leverage these funds and resources for the coming years as the district continues to implement the SOA plans which will benefit our teaching staff and enhance their use of high-quality instructional materials for our students.  Our students will receive more rigorous core instruction as well as supports that are specifically tailored to their academic, social, emotional and behavioral needs. </t>
  </si>
  <si>
    <t>Please See the SOA Submission FY25-FY27 - Downloaded from Google Sheets 032024</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</si>
  <si>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</si>
  <si>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</si>
  <si>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</si>
  <si>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</si>
  <si>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</si>
  <si>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</si>
  <si>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</si>
  <si>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</si>
  <si>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</si>
  <si>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</si>
  <si>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</si>
  <si>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</si>
  <si>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</si>
  <si>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</si>
  <si>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</si>
  <si>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</si>
  <si>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</si>
  <si>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</si>
  <si>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</si>
  <si>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</si>
  <si>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</si>
  <si>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</si>
  <si>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</si>
  <si>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</si>
  <si>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</si>
  <si>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</si>
  <si>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</si>
  <si>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</si>
  <si>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</si>
  <si>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</si>
  <si>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</si>
  <si>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</si>
  <si>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</si>
  <si>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</si>
  <si>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</si>
  <si>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</si>
  <si>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</si>
  <si>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</si>
  <si>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</si>
  <si>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</si>
  <si>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</si>
  <si>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</si>
  <si>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</si>
  <si>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</si>
  <si>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</si>
  <si>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</si>
  <si>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</si>
  <si>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</si>
  <si>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</si>
  <si>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</si>
  <si>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student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</si>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</sst>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2">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
      <i/>
      <sz val="10"/>
      <color rgb="FF000000"/>
      <name val="Arial"/>
      <family val="2"/>
    </font>
  </fonts>
  <fills count="13">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
      <patternFill patternType="solid">
        <fgColor theme="0"/>
        <bgColor indexed="64"/>
      </patternFill>
    </fill>
    <fill>
      <patternFill patternType="solid">
        <fgColor theme="0"/>
        <bgColor rgb="FFD9EAD3"/>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3">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18" fillId="11" borderId="3" xfId="0" applyFont="1" applyFill="1" applyBorder="1" applyAlignment="1" applyProtection="1">
      <alignment horizontal="center" vertical="top" wrapText="1"/>
      <protection locked="0"/>
    </xf>
    <xf numFmtId="0" fontId="18" fillId="12" borderId="3" xfId="0" applyFont="1" applyFill="1" applyBorder="1" applyAlignment="1">
      <alignment horizontal="center" vertical="top"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4" fillId="9" borderId="3" xfId="0" applyFont="1" applyFill="1" applyBorder="1" applyAlignment="1">
      <alignment horizontal="left" vertical="center" wrapText="1"/>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1" fillId="0" borderId="0" xfId="0" applyFont="1" applyAlignment="1">
      <alignment horizontal="center"/>
    </xf>
    <xf numFmtId="0" fontId="13" fillId="0" borderId="7" xfId="0" applyFont="1" applyBorder="1" applyAlignment="1">
      <alignment horizontal="left" vertical="center" wrapText="1"/>
    </xf>
    <xf numFmtId="0" fontId="14" fillId="0" borderId="3" xfId="0" applyFont="1" applyBorder="1" applyAlignment="1">
      <alignment horizontal="left" vertical="center" wrapText="1"/>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4" fillId="0" borderId="8" xfId="0" applyFont="1" applyBorder="1" applyAlignment="1">
      <alignment horizontal="left" vertical="center"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1000000}"/>
    <cellStyle name="Pivot Table Corner" xfId="2" xr:uid="{00000000-0005-0000-0000-000002000000}"/>
    <cellStyle name="Pivot Table Field" xfId="3" xr:uid="{00000000-0005-0000-0000-000003000000}"/>
    <cellStyle name="Pivot Table Result" xfId="4" xr:uid="{00000000-0005-0000-0000-000004000000}"/>
    <cellStyle name="Pivot Table Title" xfId="5" xr:uid="{00000000-0005-0000-0000-000005000000}"/>
    <cellStyle name="Pivot Table Value" xfId="6"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onsalvo, Sara" id="{0620D3DC-58ED-46E9-A54D-D9CB046B7FDA}" userId="S-1-5-21-243891354-1137005509-1236795852-373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4-03-21T15:19:09.16" personId="{0620D3DC-58ED-46E9-A54D-D9CB046B7FDA}" id="{A1F146B5-719D-4855-B83B-A88C1EC51107}">
    <text>The figures were determined from the FY25 Budget Draft, along with Grant Review to Determine Submission.  The final FY25 Budget is not complete SC approval June 20th.</text>
  </threadedComment>
</ThreadedComments>
</file>

<file path=xl/threadedComments/threadedComment2.xml><?xml version="1.0" encoding="utf-8"?>
<ThreadedComments xmlns="http://schemas.microsoft.com/office/spreadsheetml/2018/threadedcomments" xmlns:x="http://schemas.openxmlformats.org/spreadsheetml/2006/main">
  <threadedComment ref="I25" dT="2024-03-20T20:53:51.89" personId="{0620D3DC-58ED-46E9-A54D-D9CB046B7FDA}" id="{34E492A4-E2A4-4E6E-A646-62890940B25C}">
    <text>ESSER Funded</text>
  </threadedComment>
  <threadedComment ref="M53" dT="2024-03-20T21:14:03.11" personId="{0620D3DC-58ED-46E9-A54D-D9CB046B7FDA}" id="{B662080E-81EC-46EE-8857-0B48B3A0D4F9}">
    <text>FY27 (Year 3) is protected above 2.2D - No data can be entered.</text>
  </threadedComment>
</ThreadedComments>
</file>

<file path=xl/threadedComments/threadedComment3.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zoomScaleNormal="100" workbookViewId="0">
      <selection activeCell="P25" sqref="P25"/>
    </sheetView>
  </sheetViews>
  <sheetFormatPr defaultColWidth="8.5703125" defaultRowHeight="12.75"/>
  <sheetData>
    <row r="1" spans="1:11" ht="18.75">
      <c r="A1" s="86" t="s">
        <v>0</v>
      </c>
      <c r="B1" s="86"/>
      <c r="C1" s="86"/>
      <c r="D1" s="86"/>
      <c r="E1" s="86"/>
      <c r="F1" s="86"/>
      <c r="G1" s="86"/>
      <c r="H1" s="86"/>
      <c r="I1" s="86"/>
      <c r="J1" s="86"/>
      <c r="K1" s="86"/>
    </row>
    <row r="2" spans="1:11" ht="32.25" customHeight="1">
      <c r="A2" s="87" t="s">
        <v>1</v>
      </c>
      <c r="B2" s="87"/>
      <c r="C2" s="87"/>
      <c r="D2" s="87"/>
      <c r="E2" s="87"/>
      <c r="F2" s="87"/>
      <c r="G2" s="87"/>
      <c r="H2" s="87"/>
      <c r="I2" s="87"/>
      <c r="J2" s="87"/>
      <c r="K2" s="87"/>
    </row>
    <row r="3" spans="1:11" ht="12" customHeight="1">
      <c r="A3" s="88" t="s">
        <v>2</v>
      </c>
      <c r="B3" s="89"/>
      <c r="C3" s="89"/>
      <c r="D3" s="89"/>
      <c r="E3" s="89"/>
      <c r="F3" s="89"/>
      <c r="G3" s="89"/>
      <c r="H3" s="89"/>
      <c r="I3" s="89"/>
      <c r="J3" s="89"/>
      <c r="K3" s="89"/>
    </row>
    <row r="4" spans="1:11" ht="12" customHeight="1">
      <c r="A4" s="89"/>
      <c r="B4" s="89"/>
      <c r="C4" s="89"/>
      <c r="D4" s="89"/>
      <c r="E4" s="89"/>
      <c r="F4" s="89"/>
      <c r="G4" s="89"/>
      <c r="H4" s="89"/>
      <c r="I4" s="89"/>
      <c r="J4" s="89"/>
      <c r="K4" s="89"/>
    </row>
    <row r="5" spans="1:11" ht="12" customHeight="1">
      <c r="A5" s="89"/>
      <c r="B5" s="89"/>
      <c r="C5" s="89"/>
      <c r="D5" s="89"/>
      <c r="E5" s="89"/>
      <c r="F5" s="89"/>
      <c r="G5" s="89"/>
      <c r="H5" s="89"/>
      <c r="I5" s="89"/>
      <c r="J5" s="89"/>
      <c r="K5" s="89"/>
    </row>
    <row r="6" spans="1:11" ht="12" customHeight="1">
      <c r="A6" s="89"/>
      <c r="B6" s="89"/>
      <c r="C6" s="89"/>
      <c r="D6" s="89"/>
      <c r="E6" s="89"/>
      <c r="F6" s="89"/>
      <c r="G6" s="89"/>
      <c r="H6" s="89"/>
      <c r="I6" s="89"/>
      <c r="J6" s="89"/>
      <c r="K6" s="89"/>
    </row>
    <row r="7" spans="1:11" ht="12" customHeight="1">
      <c r="A7" s="89"/>
      <c r="B7" s="89"/>
      <c r="C7" s="89"/>
      <c r="D7" s="89"/>
      <c r="E7" s="89"/>
      <c r="F7" s="89"/>
      <c r="G7" s="89"/>
      <c r="H7" s="89"/>
      <c r="I7" s="89"/>
      <c r="J7" s="89"/>
      <c r="K7" s="89"/>
    </row>
    <row r="8" spans="1:11" ht="12" customHeight="1">
      <c r="A8" s="89"/>
      <c r="B8" s="89"/>
      <c r="C8" s="89"/>
      <c r="D8" s="89"/>
      <c r="E8" s="89"/>
      <c r="F8" s="89"/>
      <c r="G8" s="89"/>
      <c r="H8" s="89"/>
      <c r="I8" s="89"/>
      <c r="J8" s="89"/>
      <c r="K8" s="89"/>
    </row>
    <row r="9" spans="1:11" ht="12" customHeight="1">
      <c r="A9" s="89"/>
      <c r="B9" s="89"/>
      <c r="C9" s="89"/>
      <c r="D9" s="89"/>
      <c r="E9" s="89"/>
      <c r="F9" s="89"/>
      <c r="G9" s="89"/>
      <c r="H9" s="89"/>
      <c r="I9" s="89"/>
      <c r="J9" s="89"/>
      <c r="K9" s="89"/>
    </row>
    <row r="10" spans="1:11" ht="12" customHeight="1">
      <c r="A10" s="89"/>
      <c r="B10" s="89"/>
      <c r="C10" s="89"/>
      <c r="D10" s="89"/>
      <c r="E10" s="89"/>
      <c r="F10" s="89"/>
      <c r="G10" s="89"/>
      <c r="H10" s="89"/>
      <c r="I10" s="89"/>
      <c r="J10" s="89"/>
      <c r="K10" s="89"/>
    </row>
    <row r="11" spans="1:11" ht="12" customHeight="1">
      <c r="A11" s="89"/>
      <c r="B11" s="89"/>
      <c r="C11" s="89"/>
      <c r="D11" s="89"/>
      <c r="E11" s="89"/>
      <c r="F11" s="89"/>
      <c r="G11" s="89"/>
      <c r="H11" s="89"/>
      <c r="I11" s="89"/>
      <c r="J11" s="89"/>
      <c r="K11" s="89"/>
    </row>
    <row r="12" spans="1:11" ht="12" customHeight="1">
      <c r="A12" s="89"/>
      <c r="B12" s="89"/>
      <c r="C12" s="89"/>
      <c r="D12" s="89"/>
      <c r="E12" s="89"/>
      <c r="F12" s="89"/>
      <c r="G12" s="89"/>
      <c r="H12" s="89"/>
      <c r="I12" s="89"/>
      <c r="J12" s="89"/>
      <c r="K12" s="89"/>
    </row>
    <row r="13" spans="1:11" ht="12" customHeight="1">
      <c r="A13" s="89"/>
      <c r="B13" s="89"/>
      <c r="C13" s="89"/>
      <c r="D13" s="89"/>
      <c r="E13" s="89"/>
      <c r="F13" s="89"/>
      <c r="G13" s="89"/>
      <c r="H13" s="89"/>
      <c r="I13" s="89"/>
      <c r="J13" s="89"/>
      <c r="K13" s="89"/>
    </row>
    <row r="14" spans="1:11" ht="12" customHeight="1">
      <c r="A14" s="89"/>
      <c r="B14" s="89"/>
      <c r="C14" s="89"/>
      <c r="D14" s="89"/>
      <c r="E14" s="89"/>
      <c r="F14" s="89"/>
      <c r="G14" s="89"/>
      <c r="H14" s="89"/>
      <c r="I14" s="89"/>
      <c r="J14" s="89"/>
      <c r="K14" s="89"/>
    </row>
    <row r="21" spans="1:11">
      <c r="A21" s="90" t="s">
        <v>3</v>
      </c>
      <c r="B21" s="90"/>
      <c r="C21" s="90"/>
      <c r="D21" s="90"/>
      <c r="E21" s="90"/>
      <c r="F21" s="90"/>
      <c r="G21" s="90"/>
      <c r="H21" s="90"/>
      <c r="I21" s="90"/>
      <c r="J21" s="90"/>
      <c r="K21" s="90"/>
    </row>
  </sheetData>
  <mergeCells count="4">
    <mergeCell ref="A1:K1"/>
    <mergeCell ref="A2:K2"/>
    <mergeCell ref="A3:K14"/>
    <mergeCell ref="A21:K21"/>
  </mergeCells>
  <pageMargins left="0.7" right="0.7" top="0.75" bottom="0.75" header="0.511811023622047" footer="0.511811023622047"/>
  <pageSetup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4"/>
  <sheetViews>
    <sheetView tabSelected="1" zoomScale="75" zoomScaleNormal="75" workbookViewId="0">
      <pane ySplit="3" topLeftCell="A8" activePane="bottomLeft" state="frozen"/>
      <selection pane="bottomLeft" activeCell="H19" sqref="H19"/>
    </sheetView>
  </sheetViews>
  <sheetFormatPr defaultColWidth="12.5703125" defaultRowHeight="12.75"/>
  <cols>
    <col min="1" max="1" width="31.5703125" style="1" customWidth="1"/>
    <col min="2" max="2" width="38.140625" style="2" customWidth="1"/>
    <col min="3" max="3" width="13.7109375" style="3" customWidth="1"/>
    <col min="4" max="4" width="14.5703125" style="3" customWidth="1"/>
    <col min="5" max="5" width="14.140625" style="1" customWidth="1"/>
    <col min="6" max="6" width="21.85546875" style="1" customWidth="1"/>
    <col min="7" max="7" width="34.5703125" style="1" customWidth="1"/>
    <col min="8" max="8" width="11.140625" customWidth="1"/>
    <col min="9" max="9" width="15.42578125" style="4" customWidth="1"/>
    <col min="10" max="10" width="10.140625" customWidth="1"/>
    <col min="11" max="11" width="15.85546875" style="4" customWidth="1"/>
    <col min="12" max="12" width="13.5703125" customWidth="1"/>
    <col min="13" max="13" width="16" style="4" customWidth="1"/>
    <col min="14" max="14" width="16.28515625" customWidth="1"/>
    <col min="16" max="17" width="40.85546875" hidden="1" customWidth="1"/>
    <col min="18" max="20" width="12.5703125" hidden="1"/>
  </cols>
  <sheetData>
    <row r="1" spans="1:20" s="11" customFormat="1" ht="15.75" customHeight="1">
      <c r="A1" s="5"/>
      <c r="B1" s="6"/>
      <c r="C1" s="7"/>
      <c r="D1" s="7"/>
      <c r="E1" s="8"/>
      <c r="F1" s="8"/>
      <c r="G1" s="8"/>
      <c r="H1" s="9"/>
      <c r="I1" s="10"/>
      <c r="K1" s="12"/>
      <c r="M1" s="12"/>
    </row>
    <row r="2" spans="1:20" s="15" customFormat="1" ht="27.75" customHeight="1">
      <c r="A2" s="108" t="s">
        <v>4</v>
      </c>
      <c r="B2" s="104" t="s">
        <v>5</v>
      </c>
      <c r="C2" s="104" t="s">
        <v>6</v>
      </c>
      <c r="D2" s="104" t="s">
        <v>7</v>
      </c>
      <c r="E2" s="104" t="s">
        <v>8</v>
      </c>
      <c r="F2" s="104" t="s">
        <v>9</v>
      </c>
      <c r="G2" s="104" t="s">
        <v>10</v>
      </c>
      <c r="H2" s="105" t="s">
        <v>11</v>
      </c>
      <c r="I2" s="105"/>
      <c r="J2" s="106" t="s">
        <v>12</v>
      </c>
      <c r="K2" s="106"/>
      <c r="L2" s="107" t="s">
        <v>13</v>
      </c>
      <c r="M2" s="107"/>
      <c r="N2" s="101" t="s">
        <v>14</v>
      </c>
      <c r="O2" s="13"/>
      <c r="P2" s="14" t="s">
        <v>15</v>
      </c>
      <c r="Q2" s="14" t="s">
        <v>16</v>
      </c>
      <c r="R2" s="14" t="s">
        <v>7</v>
      </c>
      <c r="S2" s="14" t="s">
        <v>17</v>
      </c>
      <c r="T2" s="14" t="s">
        <v>18</v>
      </c>
    </row>
    <row r="3" spans="1:20" s="15" customFormat="1" ht="15">
      <c r="A3" s="108"/>
      <c r="B3" s="104"/>
      <c r="C3" s="104"/>
      <c r="D3" s="104"/>
      <c r="E3" s="104"/>
      <c r="F3" s="104"/>
      <c r="G3" s="104"/>
      <c r="H3" s="82" t="s">
        <v>19</v>
      </c>
      <c r="I3" s="42" t="s">
        <v>20</v>
      </c>
      <c r="J3" s="83" t="s">
        <v>19</v>
      </c>
      <c r="K3" s="43" t="s">
        <v>21</v>
      </c>
      <c r="L3" s="84" t="s">
        <v>19</v>
      </c>
      <c r="M3" s="44" t="s">
        <v>21</v>
      </c>
      <c r="N3" s="101"/>
      <c r="O3" s="13"/>
      <c r="P3" s="13"/>
      <c r="Q3" s="13"/>
      <c r="R3" s="13"/>
      <c r="S3" s="13"/>
      <c r="T3" s="13"/>
    </row>
    <row r="4" spans="1:20" ht="3" customHeight="1">
      <c r="A4" s="45"/>
      <c r="B4" s="46"/>
      <c r="C4" s="47"/>
      <c r="D4" s="47"/>
      <c r="E4" s="48"/>
      <c r="F4" s="48"/>
      <c r="G4" s="48"/>
      <c r="H4" s="49"/>
      <c r="I4" s="50"/>
      <c r="J4" s="49"/>
      <c r="K4" s="50"/>
      <c r="L4" s="49"/>
      <c r="M4" s="50"/>
      <c r="N4" s="16"/>
      <c r="O4" s="16"/>
      <c r="P4" s="16"/>
      <c r="Q4" s="16"/>
      <c r="R4" s="16"/>
      <c r="S4" s="16"/>
      <c r="T4" s="16"/>
    </row>
    <row r="5" spans="1:20" ht="47.1" customHeight="1" thickBot="1">
      <c r="A5" s="102" t="s">
        <v>22</v>
      </c>
      <c r="B5" s="92" t="s">
        <v>23</v>
      </c>
      <c r="C5" s="51" t="str">
        <f t="shared" ref="C5:D10" si="0">Q5</f>
        <v xml:space="preserve">Guidance, Counseling and Testing </v>
      </c>
      <c r="D5" s="51" t="str">
        <f t="shared" si="0"/>
        <v>01-Professional Salaries</v>
      </c>
      <c r="E5" s="51" t="s">
        <v>24</v>
      </c>
      <c r="F5" s="51" t="s">
        <v>25</v>
      </c>
      <c r="G5" s="52" t="s">
        <v>26</v>
      </c>
      <c r="H5" s="39">
        <v>179</v>
      </c>
      <c r="I5" s="40">
        <v>16126920</v>
      </c>
      <c r="J5" s="41">
        <f>H5</f>
        <v>179</v>
      </c>
      <c r="K5" s="40">
        <f>I5*1.03</f>
        <v>16610727.6</v>
      </c>
      <c r="L5" s="41">
        <f>J5</f>
        <v>179</v>
      </c>
      <c r="M5" s="40">
        <f>K5*1.03</f>
        <v>17109049.427999999</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 customHeight="1" thickBot="1">
      <c r="A6" s="102"/>
      <c r="B6" s="92"/>
      <c r="C6" s="51" t="str">
        <f t="shared" si="0"/>
        <v xml:space="preserve">Guidance, Counseling and Testing </v>
      </c>
      <c r="D6" s="51" t="str">
        <f t="shared" si="0"/>
        <v>04-Contracted Services</v>
      </c>
      <c r="E6" s="51" t="s">
        <v>27</v>
      </c>
      <c r="F6" s="51" t="s">
        <v>25</v>
      </c>
      <c r="G6" s="52" t="s">
        <v>28</v>
      </c>
      <c r="H6" s="54"/>
      <c r="I6" s="40">
        <v>0</v>
      </c>
      <c r="J6" s="54"/>
      <c r="K6" s="40">
        <f t="shared" ref="K6:K9" si="4">I6*1.03</f>
        <v>0</v>
      </c>
      <c r="L6" s="54"/>
      <c r="M6" s="40">
        <f t="shared" ref="M6:M9" si="5">K6*1.03</f>
        <v>0</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45.75" thickBot="1">
      <c r="A7" s="102"/>
      <c r="B7" s="92"/>
      <c r="C7" s="51" t="str">
        <f t="shared" si="0"/>
        <v xml:space="preserve">Instructional Materials, Equipment and Technology </v>
      </c>
      <c r="D7" s="51" t="str">
        <f t="shared" si="0"/>
        <v>05-Supplies and Materials</v>
      </c>
      <c r="E7" s="51" t="s">
        <v>29</v>
      </c>
      <c r="F7" s="51" t="s">
        <v>30</v>
      </c>
      <c r="G7" s="52" t="s">
        <v>31</v>
      </c>
      <c r="H7" s="54"/>
      <c r="I7" s="40">
        <v>350000</v>
      </c>
      <c r="J7" s="54"/>
      <c r="K7" s="40">
        <f t="shared" si="4"/>
        <v>360500</v>
      </c>
      <c r="L7" s="54"/>
      <c r="M7" s="40">
        <f t="shared" si="5"/>
        <v>371315</v>
      </c>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c r="A8" s="102"/>
      <c r="B8" s="92"/>
      <c r="C8" s="51" t="str">
        <f t="shared" si="0"/>
        <v>Professional Development</v>
      </c>
      <c r="D8" s="51" t="str">
        <f t="shared" si="0"/>
        <v>04-Contracted Services</v>
      </c>
      <c r="E8" s="51" t="s">
        <v>27</v>
      </c>
      <c r="F8" s="51" t="s">
        <v>32</v>
      </c>
      <c r="G8" s="52" t="s">
        <v>33</v>
      </c>
      <c r="H8" s="54"/>
      <c r="I8" s="40">
        <v>0</v>
      </c>
      <c r="J8" s="54"/>
      <c r="K8" s="40">
        <f t="shared" si="4"/>
        <v>0</v>
      </c>
      <c r="L8" s="54"/>
      <c r="M8" s="40">
        <f t="shared" si="5"/>
        <v>0</v>
      </c>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c r="A9" s="102"/>
      <c r="B9" s="92"/>
      <c r="C9" s="51" t="str">
        <f t="shared" si="0"/>
        <v xml:space="preserve">Operations and Maintenance </v>
      </c>
      <c r="D9" s="51" t="str">
        <f t="shared" si="0"/>
        <v>05-Supplies and Materials</v>
      </c>
      <c r="E9" s="51" t="s">
        <v>29</v>
      </c>
      <c r="F9" s="51" t="s">
        <v>34</v>
      </c>
      <c r="G9" s="55" t="s">
        <v>35</v>
      </c>
      <c r="H9" s="54"/>
      <c r="I9" s="40">
        <v>1425000</v>
      </c>
      <c r="J9" s="54"/>
      <c r="K9" s="40">
        <f t="shared" si="4"/>
        <v>1467750</v>
      </c>
      <c r="L9" s="54"/>
      <c r="M9" s="40">
        <f t="shared" si="5"/>
        <v>1511782.5</v>
      </c>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45" customHeight="1">
      <c r="A10" s="102"/>
      <c r="B10" s="92"/>
      <c r="C10" s="51" t="str">
        <f t="shared" si="0"/>
        <v xml:space="preserve">Benefits and Fixed Charges </v>
      </c>
      <c r="D10" s="51" t="str">
        <f t="shared" si="0"/>
        <v>04-Contracted Services</v>
      </c>
      <c r="E10" s="51" t="s">
        <v>27</v>
      </c>
      <c r="F10" s="51" t="s">
        <v>36</v>
      </c>
      <c r="G10" s="55" t="s">
        <v>37</v>
      </c>
      <c r="H10" s="54"/>
      <c r="I10" s="79">
        <f>179*15062</f>
        <v>2696098</v>
      </c>
      <c r="J10" s="54"/>
      <c r="K10" s="79">
        <f>I10*1.05</f>
        <v>2830902.9</v>
      </c>
      <c r="L10" s="54"/>
      <c r="M10" s="79">
        <f>K10*1.05</f>
        <v>2972448.0449999999</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56"/>
      <c r="B11" s="57"/>
      <c r="C11" s="58"/>
      <c r="D11" s="58"/>
      <c r="E11" s="58"/>
      <c r="F11" s="58"/>
      <c r="G11" s="59" t="s">
        <v>38</v>
      </c>
      <c r="H11" s="60">
        <f>H5</f>
        <v>179</v>
      </c>
      <c r="I11" s="61">
        <f>SUM(I5:I10)</f>
        <v>20598018</v>
      </c>
      <c r="J11" s="60">
        <f>J5</f>
        <v>179</v>
      </c>
      <c r="K11" s="61">
        <f>SUM(K5:K10)</f>
        <v>21269880.5</v>
      </c>
      <c r="L11" s="60">
        <f>L5</f>
        <v>179</v>
      </c>
      <c r="M11" s="61">
        <f>SUM(M5:M10)</f>
        <v>21964594.972999997</v>
      </c>
      <c r="N11" s="62">
        <f>SUM(I11+K11+M11)</f>
        <v>63832493.472999997</v>
      </c>
      <c r="P11" t="str">
        <f t="shared" si="1"/>
        <v>-</v>
      </c>
      <c r="Q11" t="str">
        <f>IFERROR(VLOOKUP($P11,'Short Crosswalk'!$A$1:$G$29,4,0),"")</f>
        <v/>
      </c>
      <c r="R11" t="str">
        <f>IFERROR(VLOOKUP($P11,'Short Crosswalk'!$A$1:$G$29,7,0),"")</f>
        <v/>
      </c>
      <c r="S11" t="str">
        <f t="shared" si="2"/>
        <v xml:space="preserve"> </v>
      </c>
      <c r="T11" t="str">
        <f t="shared" si="3"/>
        <v/>
      </c>
    </row>
    <row r="12" spans="1:20" ht="26.45" customHeight="1">
      <c r="A12" s="103" t="s">
        <v>39</v>
      </c>
      <c r="B12" s="92" t="s">
        <v>40</v>
      </c>
      <c r="C12" s="51" t="str">
        <f t="shared" ref="C12:D16" si="6">Q12</f>
        <v>Instruction</v>
      </c>
      <c r="D12" s="51" t="str">
        <f t="shared" si="6"/>
        <v>01-Professional Salaries</v>
      </c>
      <c r="E12" s="51" t="s">
        <v>41</v>
      </c>
      <c r="F12" s="51" t="s">
        <v>42</v>
      </c>
      <c r="G12" s="55" t="s">
        <v>43</v>
      </c>
      <c r="H12" s="41">
        <v>10</v>
      </c>
      <c r="I12" s="40">
        <v>1705644</v>
      </c>
      <c r="J12" s="41">
        <f>H12</f>
        <v>10</v>
      </c>
      <c r="K12" s="40">
        <f>I12*1.03</f>
        <v>1756813.32</v>
      </c>
      <c r="L12" s="41">
        <f>J12</f>
        <v>10</v>
      </c>
      <c r="M12" s="40">
        <f>K12*1.03</f>
        <v>1809517.7196000002</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c r="A13" s="103"/>
      <c r="B13" s="92"/>
      <c r="C13" s="51" t="str">
        <f t="shared" si="6"/>
        <v>Teachers</v>
      </c>
      <c r="D13" s="51" t="str">
        <f t="shared" si="6"/>
        <v>01-Professional Salaries</v>
      </c>
      <c r="E13" s="51" t="s">
        <v>41</v>
      </c>
      <c r="F13" s="51" t="s">
        <v>44</v>
      </c>
      <c r="G13" s="55" t="s">
        <v>45</v>
      </c>
      <c r="H13" s="41">
        <v>717</v>
      </c>
      <c r="I13" s="40">
        <v>67007559</v>
      </c>
      <c r="J13" s="41">
        <f>H13</f>
        <v>717</v>
      </c>
      <c r="K13" s="40">
        <f t="shared" ref="K13:K15" si="7">I13*1.03</f>
        <v>69017785.769999996</v>
      </c>
      <c r="L13" s="41">
        <f>J13</f>
        <v>717</v>
      </c>
      <c r="M13" s="40">
        <f t="shared" ref="M13:M15" si="8">K13*1.03</f>
        <v>71088319.343099996</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c r="A14" s="103"/>
      <c r="B14" s="92"/>
      <c r="C14" s="51" t="str">
        <f t="shared" si="6"/>
        <v xml:space="preserve">Instructional Materials, Equipment and Technology </v>
      </c>
      <c r="D14" s="51" t="str">
        <f t="shared" si="6"/>
        <v>05-Supplies and Materials</v>
      </c>
      <c r="E14" s="51" t="s">
        <v>29</v>
      </c>
      <c r="F14" s="51" t="s">
        <v>30</v>
      </c>
      <c r="G14" s="55" t="s">
        <v>46</v>
      </c>
      <c r="H14" s="54"/>
      <c r="I14" s="40">
        <v>1053370</v>
      </c>
      <c r="J14" s="54"/>
      <c r="K14" s="40">
        <f t="shared" si="7"/>
        <v>1084971.1000000001</v>
      </c>
      <c r="L14" s="54"/>
      <c r="M14" s="40">
        <f t="shared" si="8"/>
        <v>1117520.2330000002</v>
      </c>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c r="A15" s="103"/>
      <c r="B15" s="92"/>
      <c r="C15" s="51" t="str">
        <f t="shared" si="6"/>
        <v>Professional Development</v>
      </c>
      <c r="D15" s="51" t="str">
        <f t="shared" si="6"/>
        <v>04-Contracted Services</v>
      </c>
      <c r="E15" s="51" t="s">
        <v>27</v>
      </c>
      <c r="F15" s="51" t="s">
        <v>32</v>
      </c>
      <c r="G15" s="55" t="s">
        <v>47</v>
      </c>
      <c r="H15" s="54"/>
      <c r="I15" s="40">
        <v>0</v>
      </c>
      <c r="J15" s="54"/>
      <c r="K15" s="40">
        <f t="shared" si="7"/>
        <v>0</v>
      </c>
      <c r="L15" s="54"/>
      <c r="M15" s="40">
        <f t="shared" si="8"/>
        <v>0</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c r="A16" s="103"/>
      <c r="B16" s="92"/>
      <c r="C16" s="51" t="str">
        <f t="shared" si="6"/>
        <v xml:space="preserve">Benefits and Fixed Charges </v>
      </c>
      <c r="D16" s="51" t="str">
        <f t="shared" si="6"/>
        <v>04-Contracted Services</v>
      </c>
      <c r="E16" s="51" t="s">
        <v>27</v>
      </c>
      <c r="F16" s="51" t="s">
        <v>36</v>
      </c>
      <c r="G16" s="55" t="s">
        <v>37</v>
      </c>
      <c r="H16" s="54"/>
      <c r="I16" s="79">
        <f>727*15062</f>
        <v>10950074</v>
      </c>
      <c r="J16" s="54"/>
      <c r="K16" s="79">
        <f>I16*1.05</f>
        <v>11497577.700000001</v>
      </c>
      <c r="L16" s="54"/>
      <c r="M16" s="79">
        <f>K16*1.05</f>
        <v>12072456.585000001</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56"/>
      <c r="B17" s="57"/>
      <c r="C17" s="58"/>
      <c r="D17" s="58"/>
      <c r="E17" s="58"/>
      <c r="F17" s="58"/>
      <c r="G17" s="59" t="s">
        <v>38</v>
      </c>
      <c r="H17" s="60">
        <f>H12+H13</f>
        <v>727</v>
      </c>
      <c r="I17" s="61">
        <f>SUM(I12:I16)</f>
        <v>80716647</v>
      </c>
      <c r="J17" s="60">
        <f>J12+J13</f>
        <v>727</v>
      </c>
      <c r="K17" s="61">
        <f>SUM(K12:K16)</f>
        <v>83357147.889999986</v>
      </c>
      <c r="L17" s="60">
        <f>L12+L13</f>
        <v>727</v>
      </c>
      <c r="M17" s="61">
        <f>SUM(M12:M16)</f>
        <v>86087813.880699992</v>
      </c>
      <c r="N17" s="62">
        <f>SUM(I17+K17+M17)</f>
        <v>250161608.77069998</v>
      </c>
      <c r="P17" t="str">
        <f t="shared" si="1"/>
        <v>-</v>
      </c>
      <c r="Q17" t="str">
        <f>IFERROR(VLOOKUP($P17,'Short Crosswalk'!$A$1:$G$29,4,0),"")</f>
        <v/>
      </c>
      <c r="R17" t="str">
        <f>IFERROR(VLOOKUP($P17,'Short Crosswalk'!$A$1:$G$29,7,0),"")</f>
        <v/>
      </c>
      <c r="S17" t="str">
        <f t="shared" si="2"/>
        <v xml:space="preserve"> </v>
      </c>
      <c r="T17" t="str">
        <f t="shared" si="3"/>
        <v/>
      </c>
    </row>
    <row r="18" spans="1:20" ht="24" customHeight="1">
      <c r="A18" s="91" t="s">
        <v>48</v>
      </c>
      <c r="B18" s="92" t="s">
        <v>49</v>
      </c>
      <c r="C18" s="51" t="str">
        <f t="shared" ref="C18:D21" si="9">Q18</f>
        <v>Pupil Services</v>
      </c>
      <c r="D18" s="51" t="str">
        <f t="shared" si="9"/>
        <v>03-Other Salaries</v>
      </c>
      <c r="E18" s="51" t="s">
        <v>24</v>
      </c>
      <c r="F18" s="51" t="s">
        <v>50</v>
      </c>
      <c r="G18" s="55" t="s">
        <v>51</v>
      </c>
      <c r="H18" s="41">
        <v>59</v>
      </c>
      <c r="I18" s="40">
        <v>4054415</v>
      </c>
      <c r="J18" s="41">
        <f>H18</f>
        <v>59</v>
      </c>
      <c r="K18" s="40">
        <f>I18*1.03</f>
        <v>4176047.45</v>
      </c>
      <c r="L18" s="41">
        <f>J18</f>
        <v>59</v>
      </c>
      <c r="M18" s="40">
        <f>K18*1.03</f>
        <v>4301328.8735000007</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c r="A19" s="91"/>
      <c r="B19" s="92"/>
      <c r="C19" s="51" t="str">
        <f t="shared" si="9"/>
        <v>Professional Development</v>
      </c>
      <c r="D19" s="51" t="str">
        <f t="shared" si="9"/>
        <v>04-Contracted Services</v>
      </c>
      <c r="E19" s="51" t="s">
        <v>27</v>
      </c>
      <c r="F19" s="51" t="s">
        <v>32</v>
      </c>
      <c r="G19" s="55" t="s">
        <v>52</v>
      </c>
      <c r="H19" s="54"/>
      <c r="I19" s="40">
        <v>0</v>
      </c>
      <c r="J19" s="54"/>
      <c r="K19" s="40">
        <f t="shared" ref="K19:K20" si="10">I19*1.03</f>
        <v>0</v>
      </c>
      <c r="L19" s="54"/>
      <c r="M19" s="40">
        <f t="shared" ref="M19:M20" si="11">K19*1.03</f>
        <v>0</v>
      </c>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45" customHeight="1">
      <c r="A20" s="91"/>
      <c r="B20" s="92"/>
      <c r="C20" s="51" t="str">
        <f t="shared" si="9"/>
        <v>Teachers</v>
      </c>
      <c r="D20" s="51" t="str">
        <f t="shared" si="9"/>
        <v>01-Professional Salaries</v>
      </c>
      <c r="E20" s="51" t="s">
        <v>53</v>
      </c>
      <c r="F20" s="51" t="s">
        <v>44</v>
      </c>
      <c r="G20" s="55" t="s">
        <v>54</v>
      </c>
      <c r="H20" s="54"/>
      <c r="I20" s="40">
        <v>0</v>
      </c>
      <c r="J20" s="54"/>
      <c r="K20" s="40">
        <f t="shared" si="10"/>
        <v>0</v>
      </c>
      <c r="L20" s="54"/>
      <c r="M20" s="40">
        <f t="shared" si="11"/>
        <v>0</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c r="A21" s="91"/>
      <c r="B21" s="92"/>
      <c r="C21" s="51" t="str">
        <f t="shared" si="9"/>
        <v xml:space="preserve">Benefits and Fixed Charges </v>
      </c>
      <c r="D21" s="51" t="str">
        <f t="shared" si="9"/>
        <v>04-Contracted Services</v>
      </c>
      <c r="E21" s="51" t="s">
        <v>27</v>
      </c>
      <c r="F21" s="51" t="s">
        <v>36</v>
      </c>
      <c r="G21" s="55" t="s">
        <v>37</v>
      </c>
      <c r="H21" s="54"/>
      <c r="I21" s="79">
        <f>59*15062</f>
        <v>888658</v>
      </c>
      <c r="J21" s="54"/>
      <c r="K21" s="79">
        <f>I21*1.05</f>
        <v>933090.9</v>
      </c>
      <c r="L21" s="54"/>
      <c r="M21" s="79">
        <f>K21*1.05</f>
        <v>979745.44500000007</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56"/>
      <c r="B22" s="57"/>
      <c r="C22" s="58"/>
      <c r="D22" s="58"/>
      <c r="E22" s="58"/>
      <c r="F22" s="58"/>
      <c r="G22" s="59" t="s">
        <v>38</v>
      </c>
      <c r="H22" s="60">
        <f>H18</f>
        <v>59</v>
      </c>
      <c r="I22" s="61">
        <f>SUM(I18:I21)</f>
        <v>4943073</v>
      </c>
      <c r="J22" s="60">
        <f>J18</f>
        <v>59</v>
      </c>
      <c r="K22" s="61">
        <f>SUM(K18:K21)</f>
        <v>5109138.3500000006</v>
      </c>
      <c r="L22" s="60">
        <f>L18</f>
        <v>59</v>
      </c>
      <c r="M22" s="61">
        <f>SUM(M18:M21)</f>
        <v>5281074.318500001</v>
      </c>
      <c r="N22" s="62">
        <f>SUM(I22+K22+M22)</f>
        <v>15333285.668500002</v>
      </c>
      <c r="P22" t="str">
        <f t="shared" si="1"/>
        <v>-</v>
      </c>
      <c r="Q22" t="str">
        <f>IFERROR(VLOOKUP($P22,'Short Crosswalk'!$A$1:$G$29,4,0),"")</f>
        <v/>
      </c>
      <c r="R22" t="str">
        <f>IFERROR(VLOOKUP($P22,'Short Crosswalk'!$A$1:$G$29,7,0),"")</f>
        <v/>
      </c>
      <c r="S22" t="str">
        <f t="shared" si="2"/>
        <v xml:space="preserve"> </v>
      </c>
      <c r="T22" t="str">
        <f t="shared" si="3"/>
        <v/>
      </c>
    </row>
    <row r="23" spans="1:20" ht="34.5" customHeight="1">
      <c r="A23" s="100" t="s">
        <v>55</v>
      </c>
      <c r="B23" s="92" t="s">
        <v>56</v>
      </c>
      <c r="C23" s="51" t="str">
        <f t="shared" ref="C23:D27" si="12">Q23</f>
        <v>Instruction</v>
      </c>
      <c r="D23" s="51" t="str">
        <f t="shared" si="12"/>
        <v>01-Professional Salaries</v>
      </c>
      <c r="E23" s="51" t="s">
        <v>41</v>
      </c>
      <c r="F23" s="51" t="s">
        <v>42</v>
      </c>
      <c r="G23" s="55" t="s">
        <v>57</v>
      </c>
      <c r="H23" s="41">
        <v>86</v>
      </c>
      <c r="I23" s="40">
        <v>8559176</v>
      </c>
      <c r="J23" s="41">
        <f>H23</f>
        <v>86</v>
      </c>
      <c r="K23" s="40">
        <f>I23*1.03</f>
        <v>8815951.2799999993</v>
      </c>
      <c r="L23" s="41">
        <f>J23</f>
        <v>86</v>
      </c>
      <c r="M23" s="40">
        <f>K23*1.03</f>
        <v>9080429.8183999993</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6.950000000000003" customHeight="1">
      <c r="A24" s="100"/>
      <c r="B24" s="92"/>
      <c r="C24" s="51" t="str">
        <f t="shared" si="12"/>
        <v>Teachers</v>
      </c>
      <c r="D24" s="51" t="str">
        <f t="shared" si="12"/>
        <v>01-Professional Salaries</v>
      </c>
      <c r="E24" s="51" t="s">
        <v>53</v>
      </c>
      <c r="F24" s="51" t="s">
        <v>44</v>
      </c>
      <c r="G24" s="55" t="s">
        <v>58</v>
      </c>
      <c r="H24" s="54"/>
      <c r="I24" s="40">
        <v>0</v>
      </c>
      <c r="J24" s="54"/>
      <c r="K24" s="40">
        <f t="shared" ref="K24:K26" si="13">I24*1.03</f>
        <v>0</v>
      </c>
      <c r="L24" s="54"/>
      <c r="M24" s="40">
        <f t="shared" ref="M24:M26" si="14">K24*1.03</f>
        <v>0</v>
      </c>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45">
      <c r="A25" s="100"/>
      <c r="B25" s="92"/>
      <c r="C25" s="51" t="str">
        <f t="shared" si="12"/>
        <v xml:space="preserve">Instructional Materials, Equipment and Technology </v>
      </c>
      <c r="D25" s="51" t="str">
        <f t="shared" si="12"/>
        <v>05-Supplies and Materials</v>
      </c>
      <c r="E25" s="51" t="s">
        <v>29</v>
      </c>
      <c r="F25" s="51" t="s">
        <v>30</v>
      </c>
      <c r="G25" s="55" t="s">
        <v>59</v>
      </c>
      <c r="H25" s="54"/>
      <c r="I25" s="40">
        <v>0</v>
      </c>
      <c r="J25" s="54"/>
      <c r="K25" s="40">
        <f t="shared" si="13"/>
        <v>0</v>
      </c>
      <c r="L25" s="54"/>
      <c r="M25" s="40">
        <f t="shared" si="14"/>
        <v>0</v>
      </c>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c r="A26" s="100"/>
      <c r="B26" s="92"/>
      <c r="C26" s="51" t="str">
        <f t="shared" si="12"/>
        <v>Professional Development</v>
      </c>
      <c r="D26" s="51" t="str">
        <f t="shared" si="12"/>
        <v>04-Contracted Services</v>
      </c>
      <c r="E26" s="51" t="s">
        <v>27</v>
      </c>
      <c r="F26" s="51" t="s">
        <v>32</v>
      </c>
      <c r="G26" s="55" t="s">
        <v>60</v>
      </c>
      <c r="H26" s="54"/>
      <c r="I26" s="40">
        <v>0</v>
      </c>
      <c r="J26" s="54"/>
      <c r="K26" s="40">
        <f t="shared" si="13"/>
        <v>0</v>
      </c>
      <c r="L26" s="54"/>
      <c r="M26" s="40">
        <f t="shared" si="14"/>
        <v>0</v>
      </c>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45" customHeight="1">
      <c r="A27" s="100"/>
      <c r="B27" s="92"/>
      <c r="C27" s="51" t="str">
        <f t="shared" si="12"/>
        <v xml:space="preserve">Benefits and Fixed Charges </v>
      </c>
      <c r="D27" s="51" t="str">
        <f t="shared" si="12"/>
        <v>04-Contracted Services</v>
      </c>
      <c r="E27" s="51" t="s">
        <v>27</v>
      </c>
      <c r="F27" s="51" t="s">
        <v>36</v>
      </c>
      <c r="G27" s="55" t="s">
        <v>37</v>
      </c>
      <c r="H27" s="54"/>
      <c r="I27" s="79">
        <f>86*15062</f>
        <v>1295332</v>
      </c>
      <c r="J27" s="54"/>
      <c r="K27" s="79">
        <f>I27*1.05</f>
        <v>1360098.6</v>
      </c>
      <c r="L27" s="54"/>
      <c r="M27" s="79">
        <f>K27*1.05</f>
        <v>1428103.5300000003</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100"/>
      <c r="B28" s="57"/>
      <c r="C28" s="58"/>
      <c r="D28" s="58"/>
      <c r="E28" s="58"/>
      <c r="F28" s="58"/>
      <c r="G28" s="59" t="s">
        <v>38</v>
      </c>
      <c r="H28" s="60">
        <f>H23</f>
        <v>86</v>
      </c>
      <c r="I28" s="61">
        <f>SUM(I23:I27)</f>
        <v>9854508</v>
      </c>
      <c r="J28" s="60">
        <f>J23</f>
        <v>86</v>
      </c>
      <c r="K28" s="61">
        <f>SUM(K23:K27)</f>
        <v>10176049.879999999</v>
      </c>
      <c r="L28" s="60">
        <f>L23</f>
        <v>86</v>
      </c>
      <c r="M28" s="61">
        <f>SUM(M23:M27)</f>
        <v>10508533.3484</v>
      </c>
      <c r="N28" s="62">
        <f>SUM(I28+K28+M28)</f>
        <v>30539091.228399999</v>
      </c>
      <c r="P28" t="str">
        <f t="shared" si="1"/>
        <v>-</v>
      </c>
      <c r="Q28" t="str">
        <f>IFERROR(VLOOKUP($P28,'Short Crosswalk'!$A$1:$G$29,4,0),"")</f>
        <v/>
      </c>
      <c r="R28" t="str">
        <f>IFERROR(VLOOKUP($P28,'Short Crosswalk'!$A$1:$G$29,7,0),"")</f>
        <v/>
      </c>
      <c r="S28" t="str">
        <f t="shared" si="2"/>
        <v xml:space="preserve"> </v>
      </c>
      <c r="T28" t="str">
        <f t="shared" si="3"/>
        <v/>
      </c>
    </row>
    <row r="29" spans="1:20" ht="28.5" customHeight="1">
      <c r="A29" s="100"/>
      <c r="B29" s="92" t="s">
        <v>61</v>
      </c>
      <c r="C29" s="51" t="str">
        <f t="shared" ref="C29:D34" si="15">Q29</f>
        <v>Instruction</v>
      </c>
      <c r="D29" s="51" t="str">
        <f t="shared" si="15"/>
        <v>01-Professional Salaries</v>
      </c>
      <c r="E29" s="51" t="s">
        <v>41</v>
      </c>
      <c r="F29" s="51" t="s">
        <v>42</v>
      </c>
      <c r="G29" s="55" t="s">
        <v>62</v>
      </c>
      <c r="H29" s="41"/>
      <c r="I29" s="40">
        <v>0</v>
      </c>
      <c r="J29" s="41"/>
      <c r="K29" s="40">
        <f>I29*1.03</f>
        <v>0</v>
      </c>
      <c r="L29" s="41"/>
      <c r="M29" s="40">
        <f>K29*1.03</f>
        <v>0</v>
      </c>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c r="A30" s="100"/>
      <c r="B30" s="92"/>
      <c r="C30" s="51" t="str">
        <f t="shared" si="15"/>
        <v>Teachers</v>
      </c>
      <c r="D30" s="51" t="str">
        <f t="shared" si="15"/>
        <v>01-Professional Salaries</v>
      </c>
      <c r="E30" s="51" t="s">
        <v>41</v>
      </c>
      <c r="F30" s="51" t="s">
        <v>44</v>
      </c>
      <c r="G30" s="55" t="s">
        <v>63</v>
      </c>
      <c r="H30" s="41">
        <v>118</v>
      </c>
      <c r="I30" s="40">
        <v>4003121</v>
      </c>
      <c r="J30" s="41">
        <f>H30</f>
        <v>118</v>
      </c>
      <c r="K30" s="40">
        <f t="shared" ref="K30:K33" si="16">I30*1.03</f>
        <v>4123214.63</v>
      </c>
      <c r="L30" s="41">
        <f>J30</f>
        <v>118</v>
      </c>
      <c r="M30" s="40">
        <f t="shared" ref="M30:M37" si="17">K30*1.03</f>
        <v>4246911.0689000003</v>
      </c>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6.950000000000003" customHeight="1">
      <c r="A31" s="100"/>
      <c r="B31" s="92"/>
      <c r="C31" s="51" t="str">
        <f t="shared" si="15"/>
        <v xml:space="preserve">Instructional Materials, Equipment and Technology </v>
      </c>
      <c r="D31" s="51" t="str">
        <f t="shared" si="15"/>
        <v>05-Supplies and Materials</v>
      </c>
      <c r="E31" s="51" t="s">
        <v>29</v>
      </c>
      <c r="F31" s="51" t="s">
        <v>30</v>
      </c>
      <c r="G31" s="55" t="s">
        <v>64</v>
      </c>
      <c r="H31" s="54"/>
      <c r="I31" s="40">
        <v>0</v>
      </c>
      <c r="J31" s="54"/>
      <c r="K31" s="40">
        <f t="shared" si="16"/>
        <v>0</v>
      </c>
      <c r="L31" s="54"/>
      <c r="M31" s="40">
        <f t="shared" si="17"/>
        <v>0</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c r="A32" s="100"/>
      <c r="B32" s="92"/>
      <c r="C32" s="51" t="str">
        <f t="shared" si="15"/>
        <v xml:space="preserve">Instructional Materials, Equipment and Technology </v>
      </c>
      <c r="D32" s="51" t="str">
        <f t="shared" si="15"/>
        <v>06-Other Expenses</v>
      </c>
      <c r="E32" s="51" t="s">
        <v>27</v>
      </c>
      <c r="F32" s="51" t="s">
        <v>30</v>
      </c>
      <c r="G32" s="55" t="s">
        <v>65</v>
      </c>
      <c r="H32" s="54"/>
      <c r="I32" s="40">
        <v>0</v>
      </c>
      <c r="J32" s="54"/>
      <c r="K32" s="40">
        <f t="shared" si="16"/>
        <v>0</v>
      </c>
      <c r="L32" s="54"/>
      <c r="M32" s="40">
        <f t="shared" si="17"/>
        <v>0</v>
      </c>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3.950000000000003" customHeight="1">
      <c r="A33" s="100"/>
      <c r="B33" s="92"/>
      <c r="C33" s="51" t="str">
        <f t="shared" si="15"/>
        <v>Professional Development</v>
      </c>
      <c r="D33" s="51" t="str">
        <f t="shared" si="15"/>
        <v>04-Contracted Services</v>
      </c>
      <c r="E33" s="51" t="s">
        <v>27</v>
      </c>
      <c r="F33" s="51" t="s">
        <v>32</v>
      </c>
      <c r="G33" s="55" t="s">
        <v>66</v>
      </c>
      <c r="H33" s="54"/>
      <c r="I33" s="40">
        <v>0</v>
      </c>
      <c r="J33" s="54"/>
      <c r="K33" s="40">
        <f t="shared" si="16"/>
        <v>0</v>
      </c>
      <c r="L33" s="54"/>
      <c r="M33" s="40">
        <f t="shared" si="17"/>
        <v>0</v>
      </c>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45" customHeight="1">
      <c r="A34" s="100"/>
      <c r="B34" s="92"/>
      <c r="C34" s="51" t="str">
        <f t="shared" si="15"/>
        <v xml:space="preserve">Benefits and Fixed Charges </v>
      </c>
      <c r="D34" s="51" t="str">
        <f t="shared" si="15"/>
        <v>04-Contracted Services</v>
      </c>
      <c r="E34" s="51" t="s">
        <v>27</v>
      </c>
      <c r="F34" s="51" t="s">
        <v>36</v>
      </c>
      <c r="G34" s="55" t="s">
        <v>37</v>
      </c>
      <c r="H34" s="54"/>
      <c r="I34" s="79">
        <f>118*15062</f>
        <v>1777316</v>
      </c>
      <c r="J34" s="54"/>
      <c r="K34" s="79">
        <f>I34*1.05</f>
        <v>1866181.8</v>
      </c>
      <c r="L34" s="54"/>
      <c r="M34" s="79">
        <f>K34*1.05</f>
        <v>1959490.8900000001</v>
      </c>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56"/>
      <c r="B35" s="57"/>
      <c r="C35" s="58"/>
      <c r="D35" s="58"/>
      <c r="E35" s="58"/>
      <c r="F35" s="58"/>
      <c r="G35" s="59" t="s">
        <v>38</v>
      </c>
      <c r="H35" s="60">
        <f>H29+H30</f>
        <v>118</v>
      </c>
      <c r="I35" s="61">
        <f>SUM(I29:I34)</f>
        <v>5780437</v>
      </c>
      <c r="J35" s="60">
        <f>J29+J30</f>
        <v>118</v>
      </c>
      <c r="K35" s="61">
        <f>SUM(K29:K34)</f>
        <v>5989396.4299999997</v>
      </c>
      <c r="L35" s="60">
        <f>L29+L30</f>
        <v>118</v>
      </c>
      <c r="M35" s="61">
        <f>SUM(M29:M34)</f>
        <v>6206401.9589000009</v>
      </c>
      <c r="N35" s="62">
        <f>SUM(I35+K35+M35)</f>
        <v>17976235.388900001</v>
      </c>
      <c r="P35" t="str">
        <f t="shared" si="1"/>
        <v>-</v>
      </c>
      <c r="Q35" t="str">
        <f>IFERROR(VLOOKUP($P35,'Short Crosswalk'!$A$1:$G$29,4,0),"")</f>
        <v/>
      </c>
      <c r="R35" t="str">
        <f>IFERROR(VLOOKUP($P35,'Short Crosswalk'!$A$1:$G$29,7,0),"")</f>
        <v/>
      </c>
      <c r="S35" t="str">
        <f t="shared" si="2"/>
        <v xml:space="preserve"> </v>
      </c>
      <c r="T35" t="str">
        <f t="shared" si="3"/>
        <v/>
      </c>
    </row>
    <row r="36" spans="1:20" ht="38.450000000000003" customHeight="1">
      <c r="A36" s="98" t="s">
        <v>67</v>
      </c>
      <c r="B36" s="92" t="s">
        <v>68</v>
      </c>
      <c r="C36" s="51" t="str">
        <f>Q36</f>
        <v>Professional Development</v>
      </c>
      <c r="D36" s="51" t="str">
        <f>R36</f>
        <v>04-Contracted Services</v>
      </c>
      <c r="E36" s="51" t="s">
        <v>27</v>
      </c>
      <c r="F36" s="51" t="s">
        <v>32</v>
      </c>
      <c r="G36" s="55" t="s">
        <v>69</v>
      </c>
      <c r="H36" s="54"/>
      <c r="I36" s="40">
        <v>0</v>
      </c>
      <c r="J36" s="54"/>
      <c r="K36" s="40">
        <f>I36*1.03</f>
        <v>0</v>
      </c>
      <c r="L36" s="54"/>
      <c r="M36" s="40">
        <f>K36*1.03</f>
        <v>0</v>
      </c>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c r="A37" s="98"/>
      <c r="B37" s="92"/>
      <c r="C37" s="51" t="str">
        <f>Q37</f>
        <v>Teachers</v>
      </c>
      <c r="D37" s="51" t="str">
        <f>R37</f>
        <v>01-Professional Salaries</v>
      </c>
      <c r="E37" s="51" t="s">
        <v>53</v>
      </c>
      <c r="F37" s="51" t="s">
        <v>44</v>
      </c>
      <c r="G37" s="55" t="s">
        <v>70</v>
      </c>
      <c r="H37" s="54"/>
      <c r="I37" s="40">
        <v>0</v>
      </c>
      <c r="J37" s="54"/>
      <c r="K37" s="40">
        <f>I37*1.03</f>
        <v>0</v>
      </c>
      <c r="L37" s="54"/>
      <c r="M37" s="40">
        <f t="shared" si="17"/>
        <v>0</v>
      </c>
      <c r="P37" t="str">
        <f t="shared" ref="P37:P68" si="18">_xlfn.CONCAT(F37,"-",E37)</f>
        <v>Classroom &amp; Specialist Teachers-Stipends</v>
      </c>
      <c r="Q37" t="str">
        <f>IFERROR(VLOOKUP($P37,'Short Crosswalk'!$A$1:$G$29,4,0),"")</f>
        <v>Teachers</v>
      </c>
      <c r="R37" t="str">
        <f>IFERROR(VLOOKUP($P37,'Short Crosswalk'!$A$1:$G$29,7,0),"")</f>
        <v>01-Professional Salaries</v>
      </c>
      <c r="S37" t="str">
        <f t="shared" ref="S37:S68" si="19">_xlfn.CONCAT(Q37," ", R37)</f>
        <v>Teachers 01-Professional Salaries</v>
      </c>
      <c r="T37">
        <f t="shared" ref="T37:T68" si="20">IFERROR(VALUE(LEFT(D37,2)),"")</f>
        <v>1</v>
      </c>
    </row>
    <row r="38" spans="1:20" ht="13.5" customHeight="1">
      <c r="A38" s="98"/>
      <c r="B38" s="57"/>
      <c r="C38" s="58"/>
      <c r="D38" s="58"/>
      <c r="E38" s="58"/>
      <c r="F38" s="58"/>
      <c r="G38" s="59" t="s">
        <v>38</v>
      </c>
      <c r="H38" s="63"/>
      <c r="I38" s="61">
        <f>SUM(I36:I37)</f>
        <v>0</v>
      </c>
      <c r="J38" s="60"/>
      <c r="K38" s="61">
        <f>SUM(K36:K37)</f>
        <v>0</v>
      </c>
      <c r="L38" s="60"/>
      <c r="M38" s="61">
        <f>SUM(M36:M37)</f>
        <v>0</v>
      </c>
      <c r="N38" s="62">
        <f>SUM(I38+K38+M38)</f>
        <v>0</v>
      </c>
      <c r="P38" t="str">
        <f t="shared" si="18"/>
        <v>-</v>
      </c>
      <c r="Q38" t="str">
        <f>IFERROR(VLOOKUP($P38,'Short Crosswalk'!$A$1:$G$29,4,0),"")</f>
        <v/>
      </c>
      <c r="R38" t="str">
        <f>IFERROR(VLOOKUP($P38,'Short Crosswalk'!$A$1:$G$29,7,0),"")</f>
        <v/>
      </c>
      <c r="S38" t="str">
        <f t="shared" si="19"/>
        <v xml:space="preserve"> </v>
      </c>
      <c r="T38" t="str">
        <f t="shared" si="20"/>
        <v/>
      </c>
    </row>
    <row r="39" spans="1:20" ht="37.5" customHeight="1">
      <c r="A39" s="98"/>
      <c r="B39" s="99" t="s">
        <v>71</v>
      </c>
      <c r="C39" s="51" t="str">
        <f>Q39</f>
        <v>Professional Development</v>
      </c>
      <c r="D39" s="51" t="str">
        <f>R39</f>
        <v>04-Contracted Services</v>
      </c>
      <c r="E39" s="51" t="s">
        <v>27</v>
      </c>
      <c r="F39" s="51" t="s">
        <v>32</v>
      </c>
      <c r="G39" s="55" t="s">
        <v>72</v>
      </c>
      <c r="H39" s="54"/>
      <c r="I39" s="40">
        <v>0</v>
      </c>
      <c r="J39" s="54"/>
      <c r="K39" s="40">
        <f t="shared" ref="K39:K40" si="21">I39*1.03</f>
        <v>0</v>
      </c>
      <c r="L39" s="54"/>
      <c r="M39" s="40"/>
      <c r="P39" t="str">
        <f t="shared" si="18"/>
        <v>Professional Development-Contractual Services</v>
      </c>
      <c r="Q39" t="str">
        <f>IFERROR(VLOOKUP($P39,'Short Crosswalk'!$A$1:$G$29,4,0),"")</f>
        <v>Professional Development</v>
      </c>
      <c r="R39" t="str">
        <f>IFERROR(VLOOKUP($P39,'Short Crosswalk'!$A$1:$G$29,7,0),"")</f>
        <v>04-Contracted Services</v>
      </c>
      <c r="S39" t="str">
        <f t="shared" si="19"/>
        <v>Professional Development 04-Contracted Services</v>
      </c>
      <c r="T39">
        <f t="shared" si="20"/>
        <v>4</v>
      </c>
    </row>
    <row r="40" spans="1:20" ht="25.5" customHeight="1">
      <c r="A40" s="98"/>
      <c r="B40" s="99"/>
      <c r="C40" s="51" t="str">
        <f>Q40</f>
        <v>Teachers</v>
      </c>
      <c r="D40" s="51" t="str">
        <f>R40</f>
        <v>01-Professional Salaries</v>
      </c>
      <c r="E40" s="51" t="s">
        <v>53</v>
      </c>
      <c r="F40" s="51" t="s">
        <v>44</v>
      </c>
      <c r="G40" s="55" t="s">
        <v>73</v>
      </c>
      <c r="H40" s="54"/>
      <c r="I40" s="40">
        <v>0</v>
      </c>
      <c r="J40" s="54"/>
      <c r="K40" s="40">
        <f t="shared" si="21"/>
        <v>0</v>
      </c>
      <c r="L40" s="54"/>
      <c r="M40" s="40"/>
      <c r="P40" t="str">
        <f t="shared" si="18"/>
        <v>Classroom &amp; Specialist Teachers-Stipends</v>
      </c>
      <c r="Q40" t="str">
        <f>IFERROR(VLOOKUP($P40,'Short Crosswalk'!$A$1:$G$29,4,0),"")</f>
        <v>Teachers</v>
      </c>
      <c r="R40" t="str">
        <f>IFERROR(VLOOKUP($P40,'Short Crosswalk'!$A$1:$G$29,7,0),"")</f>
        <v>01-Professional Salaries</v>
      </c>
      <c r="S40" t="str">
        <f t="shared" si="19"/>
        <v>Teachers 01-Professional Salaries</v>
      </c>
      <c r="T40">
        <f t="shared" si="20"/>
        <v>1</v>
      </c>
    </row>
    <row r="41" spans="1:20" ht="13.5" customHeight="1">
      <c r="A41" s="98"/>
      <c r="B41" s="57"/>
      <c r="C41" s="58"/>
      <c r="D41" s="58"/>
      <c r="E41" s="58"/>
      <c r="F41" s="58"/>
      <c r="G41" s="59" t="s">
        <v>38</v>
      </c>
      <c r="H41" s="63"/>
      <c r="I41" s="61">
        <f>SUM(I39:I40)</f>
        <v>0</v>
      </c>
      <c r="J41" s="60"/>
      <c r="K41" s="61">
        <f>SUM(K39:K40)</f>
        <v>0</v>
      </c>
      <c r="L41" s="60"/>
      <c r="M41" s="61">
        <f>SUM(M39:M40)</f>
        <v>0</v>
      </c>
      <c r="N41" s="62">
        <f>SUM(I41+K41+M41)</f>
        <v>0</v>
      </c>
      <c r="P41" t="str">
        <f t="shared" si="18"/>
        <v>-</v>
      </c>
      <c r="Q41" t="str">
        <f>IFERROR(VLOOKUP($P41,'Short Crosswalk'!$A$1:$G$29,4,0),"")</f>
        <v/>
      </c>
      <c r="R41" t="str">
        <f>IFERROR(VLOOKUP($P41,'Short Crosswalk'!$A$1:$G$29,7,0),"")</f>
        <v/>
      </c>
      <c r="S41" t="str">
        <f t="shared" si="19"/>
        <v xml:space="preserve"> </v>
      </c>
      <c r="T41" t="str">
        <f t="shared" si="20"/>
        <v/>
      </c>
    </row>
    <row r="42" spans="1:20" ht="78" customHeight="1">
      <c r="A42" s="98"/>
      <c r="B42" s="92" t="s">
        <v>74</v>
      </c>
      <c r="C42" s="51" t="str">
        <f t="shared" ref="C42:D45" si="22">Q42</f>
        <v>Teachers</v>
      </c>
      <c r="D42" s="51" t="str">
        <f t="shared" si="22"/>
        <v>01-Professional Salaries</v>
      </c>
      <c r="E42" s="51" t="s">
        <v>41</v>
      </c>
      <c r="F42" s="51" t="s">
        <v>44</v>
      </c>
      <c r="G42" s="55" t="s">
        <v>75</v>
      </c>
      <c r="H42" s="41">
        <v>104</v>
      </c>
      <c r="I42" s="40">
        <v>9228054</v>
      </c>
      <c r="J42" s="41">
        <f>H42</f>
        <v>104</v>
      </c>
      <c r="K42" s="40">
        <f t="shared" ref="K42:K44" si="23">I42*1.03</f>
        <v>9504895.620000001</v>
      </c>
      <c r="L42" s="41">
        <f>J42</f>
        <v>104</v>
      </c>
      <c r="M42" s="40">
        <f t="shared" ref="M42:M44" si="24">K42*1.03</f>
        <v>9790042.4886000007</v>
      </c>
      <c r="P42" t="str">
        <f t="shared" si="18"/>
        <v>Classroom &amp; Specialist Teachers-Salaries - Instructional</v>
      </c>
      <c r="Q42" t="str">
        <f>IFERROR(VLOOKUP($P42,'Short Crosswalk'!$A$1:$G$29,4,0),"")</f>
        <v>Teachers</v>
      </c>
      <c r="R42" t="str">
        <f>IFERROR(VLOOKUP($P42,'Short Crosswalk'!$A$1:$G$29,7,0),"")</f>
        <v>01-Professional Salaries</v>
      </c>
      <c r="S42" t="str">
        <f t="shared" si="19"/>
        <v>Teachers 01-Professional Salaries</v>
      </c>
      <c r="T42">
        <f t="shared" si="20"/>
        <v>1</v>
      </c>
    </row>
    <row r="43" spans="1:20" ht="34.5" customHeight="1">
      <c r="A43" s="98"/>
      <c r="B43" s="92"/>
      <c r="C43" s="51" t="str">
        <f t="shared" si="22"/>
        <v>Professional Development</v>
      </c>
      <c r="D43" s="51" t="str">
        <f t="shared" si="22"/>
        <v>04-Contracted Services</v>
      </c>
      <c r="E43" s="51" t="s">
        <v>27</v>
      </c>
      <c r="F43" s="51" t="s">
        <v>32</v>
      </c>
      <c r="G43" s="55" t="s">
        <v>76</v>
      </c>
      <c r="H43" s="54"/>
      <c r="I43" s="40">
        <v>0</v>
      </c>
      <c r="J43" s="54"/>
      <c r="K43" s="40">
        <f t="shared" si="23"/>
        <v>0</v>
      </c>
      <c r="L43" s="54"/>
      <c r="M43" s="40">
        <f>K43*1.03</f>
        <v>0</v>
      </c>
      <c r="P43" t="str">
        <f t="shared" si="18"/>
        <v>Professional Development-Contractual Services</v>
      </c>
      <c r="Q43" t="str">
        <f>IFERROR(VLOOKUP($P43,'Short Crosswalk'!$A$1:$G$29,4,0),"")</f>
        <v>Professional Development</v>
      </c>
      <c r="R43" t="str">
        <f>IFERROR(VLOOKUP($P43,'Short Crosswalk'!$A$1:$G$29,7,0),"")</f>
        <v>04-Contracted Services</v>
      </c>
      <c r="S43" t="str">
        <f t="shared" si="19"/>
        <v>Professional Development 04-Contracted Services</v>
      </c>
      <c r="T43">
        <f t="shared" si="20"/>
        <v>4</v>
      </c>
    </row>
    <row r="44" spans="1:20" ht="45">
      <c r="A44" s="98"/>
      <c r="B44" s="92"/>
      <c r="C44" s="51" t="str">
        <f t="shared" si="22"/>
        <v xml:space="preserve">Instructional Materials, Equipment and Technology </v>
      </c>
      <c r="D44" s="51" t="str">
        <f t="shared" si="22"/>
        <v>05-Supplies and Materials</v>
      </c>
      <c r="E44" s="51" t="s">
        <v>29</v>
      </c>
      <c r="F44" s="51" t="s">
        <v>30</v>
      </c>
      <c r="G44" s="55" t="s">
        <v>77</v>
      </c>
      <c r="H44" s="54"/>
      <c r="I44" s="40">
        <v>50000</v>
      </c>
      <c r="J44" s="54"/>
      <c r="K44" s="40">
        <f t="shared" si="23"/>
        <v>51500</v>
      </c>
      <c r="L44" s="54"/>
      <c r="M44" s="40">
        <f t="shared" si="24"/>
        <v>53045</v>
      </c>
      <c r="P44" t="str">
        <f t="shared" si="1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19"/>
        <v>Instructional Materials, Equipment and Technology  05-Supplies and Materials</v>
      </c>
      <c r="T44">
        <f t="shared" si="20"/>
        <v>5</v>
      </c>
    </row>
    <row r="45" spans="1:20" ht="25.5" customHeight="1">
      <c r="A45" s="98"/>
      <c r="B45" s="92"/>
      <c r="C45" s="51" t="str">
        <f t="shared" si="22"/>
        <v xml:space="preserve">Benefits and Fixed Charges </v>
      </c>
      <c r="D45" s="51" t="str">
        <f t="shared" si="22"/>
        <v>04-Contracted Services</v>
      </c>
      <c r="E45" s="51" t="s">
        <v>27</v>
      </c>
      <c r="F45" s="51" t="s">
        <v>36</v>
      </c>
      <c r="G45" s="55" t="s">
        <v>37</v>
      </c>
      <c r="H45" s="54"/>
      <c r="I45" s="79">
        <f>104*15062</f>
        <v>1566448</v>
      </c>
      <c r="J45" s="54"/>
      <c r="K45" s="79">
        <f>I45*1.05</f>
        <v>1644770.4000000001</v>
      </c>
      <c r="L45" s="54"/>
      <c r="M45" s="79">
        <f>K45*1.05</f>
        <v>1727008.9200000002</v>
      </c>
      <c r="P45" t="str">
        <f t="shared" si="18"/>
        <v>Benefits and Fixed Charges -Contractual Services</v>
      </c>
      <c r="Q45" t="str">
        <f>IFERROR(VLOOKUP($P45,'Short Crosswalk'!$A$1:$G$29,4,0),"")</f>
        <v xml:space="preserve">Benefits and Fixed Charges </v>
      </c>
      <c r="R45" t="str">
        <f>IFERROR(VLOOKUP($P45,'Short Crosswalk'!$A$1:$G$29,7,0),"")</f>
        <v>04-Contracted Services</v>
      </c>
      <c r="S45" t="str">
        <f t="shared" si="19"/>
        <v>Benefits and Fixed Charges  04-Contracted Services</v>
      </c>
      <c r="T45">
        <f t="shared" si="20"/>
        <v>4</v>
      </c>
    </row>
    <row r="46" spans="1:20" ht="13.5" customHeight="1">
      <c r="A46" s="98"/>
      <c r="B46" s="57"/>
      <c r="C46" s="58"/>
      <c r="D46" s="58"/>
      <c r="E46" s="58"/>
      <c r="F46" s="58"/>
      <c r="G46" s="59" t="s">
        <v>38</v>
      </c>
      <c r="H46" s="60">
        <f>H42</f>
        <v>104</v>
      </c>
      <c r="I46" s="61">
        <f>SUM(I42:I45)</f>
        <v>10844502</v>
      </c>
      <c r="J46" s="60">
        <f>J42</f>
        <v>104</v>
      </c>
      <c r="K46" s="61">
        <f>SUM(K42:K45)</f>
        <v>11201166.020000001</v>
      </c>
      <c r="L46" s="60">
        <f>L42</f>
        <v>104</v>
      </c>
      <c r="M46" s="61">
        <f>SUM(M42:M45)</f>
        <v>11570096.408600001</v>
      </c>
      <c r="N46" s="62">
        <f>SUM(I46+K46+M46)</f>
        <v>33615764.428600006</v>
      </c>
      <c r="P46" t="str">
        <f t="shared" si="18"/>
        <v>-</v>
      </c>
      <c r="Q46" t="str">
        <f>IFERROR(VLOOKUP($P46,'Short Crosswalk'!$A$1:$G$29,4,0),"")</f>
        <v/>
      </c>
      <c r="R46" t="str">
        <f>IFERROR(VLOOKUP($P46,'Short Crosswalk'!$A$1:$G$29,7,0),"")</f>
        <v/>
      </c>
      <c r="S46" t="str">
        <f t="shared" si="19"/>
        <v xml:space="preserve"> </v>
      </c>
      <c r="T46" t="str">
        <f t="shared" si="20"/>
        <v/>
      </c>
    </row>
    <row r="47" spans="1:20" ht="25.5" customHeight="1">
      <c r="A47" s="98"/>
      <c r="B47" s="92" t="s">
        <v>78</v>
      </c>
      <c r="C47" s="51" t="str">
        <f t="shared" ref="C47:D51" si="25">Q47</f>
        <v>Other Teaching Services</v>
      </c>
      <c r="D47" s="51" t="str">
        <f t="shared" si="25"/>
        <v>03-Other Salaries</v>
      </c>
      <c r="E47" s="51" t="s">
        <v>24</v>
      </c>
      <c r="F47" s="51" t="s">
        <v>79</v>
      </c>
      <c r="G47" s="55" t="s">
        <v>80</v>
      </c>
      <c r="H47" s="41">
        <v>29</v>
      </c>
      <c r="I47" s="40">
        <v>1712808</v>
      </c>
      <c r="J47" s="41">
        <f>H47</f>
        <v>29</v>
      </c>
      <c r="K47" s="40">
        <f t="shared" ref="K47:K50" si="26">I47*1.03</f>
        <v>1764192.24</v>
      </c>
      <c r="L47" s="41">
        <f>J47</f>
        <v>29</v>
      </c>
      <c r="M47" s="40">
        <f t="shared" ref="M47" si="27">K47*1.03</f>
        <v>1817118.0072000001</v>
      </c>
      <c r="P47" t="str">
        <f t="shared" si="18"/>
        <v>Other Teaching Services-Salaries - Other</v>
      </c>
      <c r="Q47" t="str">
        <f>IFERROR(VLOOKUP($P47,'Short Crosswalk'!$A$1:$G$29,4,0),"")</f>
        <v>Other Teaching Services</v>
      </c>
      <c r="R47" t="str">
        <f>IFERROR(VLOOKUP($P47,'Short Crosswalk'!$A$1:$G$29,7,0),"")</f>
        <v>03-Other Salaries</v>
      </c>
      <c r="S47" t="str">
        <f t="shared" si="19"/>
        <v>Other Teaching Services 03-Other Salaries</v>
      </c>
      <c r="T47">
        <f t="shared" si="20"/>
        <v>3</v>
      </c>
    </row>
    <row r="48" spans="1:20" ht="21.95" customHeight="1">
      <c r="A48" s="98"/>
      <c r="B48" s="92"/>
      <c r="C48" s="51" t="str">
        <f t="shared" si="25"/>
        <v>Professional Development</v>
      </c>
      <c r="D48" s="51" t="str">
        <f t="shared" si="25"/>
        <v>04-Contracted Services</v>
      </c>
      <c r="E48" s="51" t="s">
        <v>27</v>
      </c>
      <c r="F48" s="51" t="s">
        <v>32</v>
      </c>
      <c r="G48" s="55" t="s">
        <v>81</v>
      </c>
      <c r="H48" s="54"/>
      <c r="I48" s="40">
        <v>0</v>
      </c>
      <c r="J48" s="54"/>
      <c r="K48" s="40">
        <f t="shared" si="26"/>
        <v>0</v>
      </c>
      <c r="L48" s="54"/>
      <c r="M48" s="53"/>
      <c r="P48" t="str">
        <f t="shared" si="18"/>
        <v>Professional Development-Contractual Services</v>
      </c>
      <c r="Q48" t="str">
        <f>IFERROR(VLOOKUP($P48,'Short Crosswalk'!$A$1:$G$29,4,0),"")</f>
        <v>Professional Development</v>
      </c>
      <c r="R48" t="str">
        <f>IFERROR(VLOOKUP($P48,'Short Crosswalk'!$A$1:$G$29,7,0),"")</f>
        <v>04-Contracted Services</v>
      </c>
      <c r="S48" t="str">
        <f t="shared" si="19"/>
        <v>Professional Development 04-Contracted Services</v>
      </c>
      <c r="T48">
        <f t="shared" si="20"/>
        <v>4</v>
      </c>
    </row>
    <row r="49" spans="1:20" ht="36" customHeight="1">
      <c r="A49" s="98"/>
      <c r="B49" s="92"/>
      <c r="C49" s="51" t="str">
        <f t="shared" si="25"/>
        <v xml:space="preserve">Instructional Materials, Equipment and Technology </v>
      </c>
      <c r="D49" s="51" t="str">
        <f t="shared" si="25"/>
        <v>05-Supplies and Materials</v>
      </c>
      <c r="E49" s="51" t="s">
        <v>29</v>
      </c>
      <c r="F49" s="51" t="s">
        <v>30</v>
      </c>
      <c r="G49" s="55" t="s">
        <v>82</v>
      </c>
      <c r="H49" s="54"/>
      <c r="I49" s="40"/>
      <c r="J49" s="54"/>
      <c r="K49" s="40">
        <f t="shared" si="26"/>
        <v>0</v>
      </c>
      <c r="L49" s="54"/>
      <c r="M49" s="53"/>
      <c r="P49" t="str">
        <f t="shared" si="1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19"/>
        <v>Instructional Materials, Equipment and Technology  05-Supplies and Materials</v>
      </c>
      <c r="T49">
        <f t="shared" si="20"/>
        <v>5</v>
      </c>
    </row>
    <row r="50" spans="1:20" ht="29.45" customHeight="1">
      <c r="A50" s="98"/>
      <c r="B50" s="92"/>
      <c r="C50" s="51" t="str">
        <f t="shared" si="25"/>
        <v>Teachers</v>
      </c>
      <c r="D50" s="51" t="str">
        <f t="shared" si="25"/>
        <v>01-Professional Salaries</v>
      </c>
      <c r="E50" s="51" t="s">
        <v>53</v>
      </c>
      <c r="F50" s="51" t="s">
        <v>44</v>
      </c>
      <c r="G50" s="55" t="s">
        <v>83</v>
      </c>
      <c r="H50" s="54"/>
      <c r="I50" s="40"/>
      <c r="J50" s="54"/>
      <c r="K50" s="40">
        <f t="shared" si="26"/>
        <v>0</v>
      </c>
      <c r="L50" s="54"/>
      <c r="M50" s="53"/>
      <c r="P50" t="str">
        <f t="shared" si="18"/>
        <v>Classroom &amp; Specialist Teachers-Stipends</v>
      </c>
      <c r="Q50" t="str">
        <f>IFERROR(VLOOKUP($P50,'Short Crosswalk'!$A$1:$G$29,4,0),"")</f>
        <v>Teachers</v>
      </c>
      <c r="R50" t="str">
        <f>IFERROR(VLOOKUP($P50,'Short Crosswalk'!$A$1:$G$29,7,0),"")</f>
        <v>01-Professional Salaries</v>
      </c>
      <c r="S50" t="str">
        <f t="shared" si="19"/>
        <v>Teachers 01-Professional Salaries</v>
      </c>
      <c r="T50">
        <f t="shared" si="20"/>
        <v>1</v>
      </c>
    </row>
    <row r="51" spans="1:20" ht="23.45" customHeight="1">
      <c r="A51" s="98"/>
      <c r="B51" s="92"/>
      <c r="C51" s="51" t="str">
        <f t="shared" si="25"/>
        <v xml:space="preserve">Benefits and Fixed Charges </v>
      </c>
      <c r="D51" s="51" t="str">
        <f t="shared" si="25"/>
        <v>04-Contracted Services</v>
      </c>
      <c r="E51" s="51" t="s">
        <v>27</v>
      </c>
      <c r="F51" s="51" t="s">
        <v>36</v>
      </c>
      <c r="G51" s="55" t="s">
        <v>37</v>
      </c>
      <c r="H51" s="54"/>
      <c r="I51" s="79">
        <f>29*15062</f>
        <v>436798</v>
      </c>
      <c r="J51" s="54"/>
      <c r="K51" s="79">
        <f>I51*1.05</f>
        <v>458637.9</v>
      </c>
      <c r="L51" s="54"/>
      <c r="M51" s="40">
        <f>K51*1.05</f>
        <v>481569.79500000004</v>
      </c>
      <c r="P51" t="str">
        <f t="shared" si="18"/>
        <v>Benefits and Fixed Charges -Contractual Services</v>
      </c>
      <c r="Q51" t="str">
        <f>IFERROR(VLOOKUP($P51,'Short Crosswalk'!$A$1:$G$29,4,0),"")</f>
        <v xml:space="preserve">Benefits and Fixed Charges </v>
      </c>
      <c r="R51" t="str">
        <f>IFERROR(VLOOKUP($P51,'Short Crosswalk'!$A$1:$G$29,7,0),"")</f>
        <v>04-Contracted Services</v>
      </c>
      <c r="S51" t="str">
        <f t="shared" si="19"/>
        <v>Benefits and Fixed Charges  04-Contracted Services</v>
      </c>
      <c r="T51">
        <f t="shared" si="20"/>
        <v>4</v>
      </c>
    </row>
    <row r="52" spans="1:20" ht="13.5" customHeight="1">
      <c r="A52" s="56"/>
      <c r="B52" s="57"/>
      <c r="C52" s="58"/>
      <c r="D52" s="58"/>
      <c r="E52" s="58"/>
      <c r="F52" s="58"/>
      <c r="G52" s="59" t="s">
        <v>38</v>
      </c>
      <c r="H52" s="60">
        <f>H47</f>
        <v>29</v>
      </c>
      <c r="I52" s="61">
        <f>SUM(I47:I51)</f>
        <v>2149606</v>
      </c>
      <c r="J52" s="60">
        <f>J47</f>
        <v>29</v>
      </c>
      <c r="K52" s="61">
        <f>SUM(K47:K51)</f>
        <v>2222830.14</v>
      </c>
      <c r="L52" s="60">
        <f>L47</f>
        <v>29</v>
      </c>
      <c r="M52" s="61">
        <f>SUM(M47:M51)</f>
        <v>2298687.8022000003</v>
      </c>
      <c r="N52" s="62">
        <f>SUM(I52+K52+M52)</f>
        <v>6671123.9422000013</v>
      </c>
      <c r="P52" t="str">
        <f t="shared" si="18"/>
        <v>-</v>
      </c>
      <c r="Q52" t="str">
        <f>IFERROR(VLOOKUP($P52,'Short Crosswalk'!$A$1:$G$29,4,0),"")</f>
        <v/>
      </c>
      <c r="R52" t="str">
        <f>IFERROR(VLOOKUP($P52,'Short Crosswalk'!$A$1:$G$29,7,0),"")</f>
        <v/>
      </c>
      <c r="S52" t="str">
        <f t="shared" si="19"/>
        <v xml:space="preserve"> </v>
      </c>
      <c r="T52" t="str">
        <f t="shared" si="20"/>
        <v/>
      </c>
    </row>
    <row r="53" spans="1:20" ht="36.950000000000003" customHeight="1">
      <c r="A53" s="95" t="s">
        <v>84</v>
      </c>
      <c r="B53" s="92" t="s">
        <v>85</v>
      </c>
      <c r="C53" s="51" t="str">
        <f t="shared" ref="C53:D57" si="28">Q53</f>
        <v xml:space="preserve">Guidance, Counseling and Testing </v>
      </c>
      <c r="D53" s="51" t="str">
        <f t="shared" si="28"/>
        <v>01-Professional Salaries</v>
      </c>
      <c r="E53" s="51" t="s">
        <v>24</v>
      </c>
      <c r="F53" s="51" t="s">
        <v>25</v>
      </c>
      <c r="G53" s="55" t="s">
        <v>86</v>
      </c>
      <c r="H53" s="80">
        <v>6</v>
      </c>
      <c r="I53" s="40">
        <v>1015128</v>
      </c>
      <c r="J53" s="41">
        <f>H53</f>
        <v>6</v>
      </c>
      <c r="K53" s="40">
        <f t="shared" ref="K53:K56" si="29">I53*1.03</f>
        <v>1045581.8400000001</v>
      </c>
      <c r="L53" s="41">
        <f>J53</f>
        <v>6</v>
      </c>
      <c r="M53" s="40">
        <f>K53*1.03</f>
        <v>1076949.2952000001</v>
      </c>
      <c r="P53" t="str">
        <f t="shared" si="18"/>
        <v>Guidance and Psychological-Salaries - Other</v>
      </c>
      <c r="Q53" t="str">
        <f>IFERROR(VLOOKUP($P53,'Short Crosswalk'!$A$1:$G$29,4,0),"")</f>
        <v xml:space="preserve">Guidance, Counseling and Testing </v>
      </c>
      <c r="R53" t="str">
        <f>IFERROR(VLOOKUP($P53,'Short Crosswalk'!$A$1:$G$29,7,0),"")</f>
        <v>01-Professional Salaries</v>
      </c>
      <c r="S53" t="str">
        <f t="shared" si="19"/>
        <v>Guidance, Counseling and Testing  01-Professional Salaries</v>
      </c>
      <c r="T53">
        <f t="shared" si="20"/>
        <v>1</v>
      </c>
    </row>
    <row r="54" spans="1:20" ht="24" customHeight="1">
      <c r="A54" s="95"/>
      <c r="B54" s="92"/>
      <c r="C54" s="51" t="str">
        <f t="shared" si="28"/>
        <v>Teachers</v>
      </c>
      <c r="D54" s="51" t="str">
        <f t="shared" si="28"/>
        <v>01-Professional Salaries</v>
      </c>
      <c r="E54" s="51" t="s">
        <v>41</v>
      </c>
      <c r="F54" s="51" t="s">
        <v>44</v>
      </c>
      <c r="G54" s="55" t="s">
        <v>87</v>
      </c>
      <c r="H54" s="81">
        <v>103</v>
      </c>
      <c r="I54" s="40">
        <v>9507724</v>
      </c>
      <c r="J54" s="54"/>
      <c r="K54" s="40">
        <f t="shared" si="29"/>
        <v>9792955.7200000007</v>
      </c>
      <c r="L54" s="54"/>
      <c r="M54" s="40">
        <f t="shared" ref="M54:M56" si="30">K54*1.03</f>
        <v>10086744.391600002</v>
      </c>
      <c r="P54" t="str">
        <f t="shared" si="18"/>
        <v>Classroom &amp; Specialist Teachers-Salaries - Instructional</v>
      </c>
      <c r="Q54" t="str">
        <f>IFERROR(VLOOKUP($P54,'Short Crosswalk'!$A$1:$G$29,4,0),"")</f>
        <v>Teachers</v>
      </c>
      <c r="R54" t="str">
        <f>IFERROR(VLOOKUP($P54,'Short Crosswalk'!$A$1:$G$29,7,0),"")</f>
        <v>01-Professional Salaries</v>
      </c>
      <c r="S54" t="str">
        <f t="shared" si="19"/>
        <v>Teachers 01-Professional Salaries</v>
      </c>
      <c r="T54">
        <f t="shared" si="20"/>
        <v>1</v>
      </c>
    </row>
    <row r="55" spans="1:20" ht="25.5" customHeight="1">
      <c r="A55" s="95"/>
      <c r="B55" s="92"/>
      <c r="C55" s="51" t="str">
        <f t="shared" si="28"/>
        <v>Instruction</v>
      </c>
      <c r="D55" s="51" t="str">
        <f t="shared" si="28"/>
        <v>01-Professional Salaries</v>
      </c>
      <c r="E55" s="51" t="s">
        <v>53</v>
      </c>
      <c r="F55" s="51" t="s">
        <v>42</v>
      </c>
      <c r="G55" s="55" t="s">
        <v>88</v>
      </c>
      <c r="H55" s="54"/>
      <c r="I55" s="40">
        <v>500000</v>
      </c>
      <c r="J55" s="54"/>
      <c r="K55" s="40">
        <f t="shared" si="29"/>
        <v>515000</v>
      </c>
      <c r="L55" s="54"/>
      <c r="M55" s="40">
        <f t="shared" si="30"/>
        <v>530450</v>
      </c>
      <c r="P55" t="str">
        <f t="shared" si="18"/>
        <v>Instruction Leadership-Stipends</v>
      </c>
      <c r="Q55" t="str">
        <f>IFERROR(VLOOKUP($P55,'Short Crosswalk'!$A$1:$G$29,4,0),"")</f>
        <v>Instruction</v>
      </c>
      <c r="R55" t="str">
        <f>IFERROR(VLOOKUP($P55,'Short Crosswalk'!$A$1:$G$29,7,0),"")</f>
        <v>01-Professional Salaries</v>
      </c>
      <c r="S55" t="str">
        <f t="shared" si="19"/>
        <v>Instruction 01-Professional Salaries</v>
      </c>
      <c r="T55">
        <f t="shared" si="20"/>
        <v>1</v>
      </c>
    </row>
    <row r="56" spans="1:20" ht="22.5">
      <c r="A56" s="95"/>
      <c r="B56" s="92"/>
      <c r="C56" s="51" t="str">
        <f t="shared" si="28"/>
        <v xml:space="preserve">Operations and Maintenance </v>
      </c>
      <c r="D56" s="51" t="str">
        <f t="shared" si="28"/>
        <v>06-Other Expenses</v>
      </c>
      <c r="E56" s="51" t="s">
        <v>89</v>
      </c>
      <c r="F56" s="51" t="s">
        <v>34</v>
      </c>
      <c r="G56" s="55" t="s">
        <v>90</v>
      </c>
      <c r="H56" s="54"/>
      <c r="I56" s="40">
        <v>304200</v>
      </c>
      <c r="J56" s="54"/>
      <c r="K56" s="40">
        <f t="shared" si="29"/>
        <v>313326</v>
      </c>
      <c r="L56" s="54"/>
      <c r="M56" s="40">
        <f t="shared" si="30"/>
        <v>322725.78000000003</v>
      </c>
      <c r="P56" t="str">
        <f t="shared" si="18"/>
        <v>Operations and Maintenance-Other</v>
      </c>
      <c r="Q56" t="str">
        <f>IFERROR(VLOOKUP($P56,'Short Crosswalk'!$A$1:$G$29,4,0),"")</f>
        <v xml:space="preserve">Operations and Maintenance </v>
      </c>
      <c r="R56" t="str">
        <f>IFERROR(VLOOKUP($P56,'Short Crosswalk'!$A$1:$G$29,7,0),"")</f>
        <v>06-Other Expenses</v>
      </c>
      <c r="S56" t="str">
        <f t="shared" si="19"/>
        <v>Operations and Maintenance  06-Other Expenses</v>
      </c>
      <c r="T56">
        <f t="shared" si="20"/>
        <v>6</v>
      </c>
    </row>
    <row r="57" spans="1:20" ht="24" customHeight="1">
      <c r="A57" s="95"/>
      <c r="B57" s="92"/>
      <c r="C57" s="51" t="str">
        <f t="shared" si="28"/>
        <v xml:space="preserve">Benefits and Fixed Charges </v>
      </c>
      <c r="D57" s="51" t="str">
        <f t="shared" si="28"/>
        <v>04-Contracted Services</v>
      </c>
      <c r="E57" s="51" t="s">
        <v>27</v>
      </c>
      <c r="F57" s="51" t="s">
        <v>36</v>
      </c>
      <c r="G57" s="55" t="s">
        <v>37</v>
      </c>
      <c r="H57" s="54"/>
      <c r="I57" s="79">
        <f>(6+103)*15062</f>
        <v>1641758</v>
      </c>
      <c r="J57" s="54"/>
      <c r="K57" s="79">
        <f>I57*1.05</f>
        <v>1723845.9000000001</v>
      </c>
      <c r="L57" s="54"/>
      <c r="M57" s="79">
        <f>K57*1.05</f>
        <v>1810038.1950000003</v>
      </c>
      <c r="P57" t="str">
        <f t="shared" si="18"/>
        <v>Benefits and Fixed Charges -Contractual Services</v>
      </c>
      <c r="Q57" t="str">
        <f>IFERROR(VLOOKUP($P57,'Short Crosswalk'!$A$1:$G$29,4,0),"")</f>
        <v xml:space="preserve">Benefits and Fixed Charges </v>
      </c>
      <c r="R57" t="str">
        <f>IFERROR(VLOOKUP($P57,'Short Crosswalk'!$A$1:$G$29,7,0),"")</f>
        <v>04-Contracted Services</v>
      </c>
      <c r="S57" t="str">
        <f t="shared" si="19"/>
        <v>Benefits and Fixed Charges  04-Contracted Services</v>
      </c>
      <c r="T57">
        <f t="shared" si="20"/>
        <v>4</v>
      </c>
    </row>
    <row r="58" spans="1:20" ht="13.5" customHeight="1">
      <c r="A58" s="56"/>
      <c r="B58" s="57"/>
      <c r="C58" s="58"/>
      <c r="D58" s="58"/>
      <c r="E58" s="58"/>
      <c r="F58" s="58"/>
      <c r="G58" s="59" t="s">
        <v>38</v>
      </c>
      <c r="H58" s="60">
        <f>SUM(H53:H57)</f>
        <v>109</v>
      </c>
      <c r="I58" s="61">
        <f>SUM(I53:I57)</f>
        <v>12968810</v>
      </c>
      <c r="J58" s="60">
        <f>J53</f>
        <v>6</v>
      </c>
      <c r="K58" s="61">
        <f>SUM(K53:K57)</f>
        <v>13390709.460000001</v>
      </c>
      <c r="L58" s="60">
        <f>L53</f>
        <v>6</v>
      </c>
      <c r="M58" s="61">
        <f>SUM(M53:M57)</f>
        <v>13826907.661800001</v>
      </c>
      <c r="N58" s="62">
        <f>SUM(I58+K58+M58)</f>
        <v>40186427.121800005</v>
      </c>
      <c r="P58" t="str">
        <f t="shared" si="18"/>
        <v>-</v>
      </c>
      <c r="Q58" t="str">
        <f>IFERROR(VLOOKUP($P58,'Short Crosswalk'!$A$1:$G$29,4,0),"")</f>
        <v/>
      </c>
      <c r="R58" t="str">
        <f>IFERROR(VLOOKUP($P58,'Short Crosswalk'!$A$1:$G$29,7,0),"")</f>
        <v/>
      </c>
      <c r="S58" t="str">
        <f t="shared" si="19"/>
        <v xml:space="preserve"> </v>
      </c>
      <c r="T58" t="str">
        <f t="shared" si="20"/>
        <v/>
      </c>
    </row>
    <row r="59" spans="1:20" ht="25.5" customHeight="1">
      <c r="A59" s="96" t="s">
        <v>91</v>
      </c>
      <c r="B59" s="92" t="s">
        <v>92</v>
      </c>
      <c r="C59" s="51" t="str">
        <f t="shared" ref="C59:D64" si="31">Q59</f>
        <v>Administration</v>
      </c>
      <c r="D59" s="51" t="str">
        <f t="shared" si="31"/>
        <v>01-Professional Salaries</v>
      </c>
      <c r="E59" s="51" t="s">
        <v>93</v>
      </c>
      <c r="F59" s="51" t="s">
        <v>94</v>
      </c>
      <c r="G59" s="55" t="s">
        <v>95</v>
      </c>
      <c r="H59" s="80">
        <v>1</v>
      </c>
      <c r="I59" s="40">
        <v>131250</v>
      </c>
      <c r="J59" s="41">
        <f>H59</f>
        <v>1</v>
      </c>
      <c r="K59" s="40">
        <f t="shared" ref="K59:K63" si="32">I59*1.03</f>
        <v>135187.5</v>
      </c>
      <c r="L59" s="41">
        <f>J59</f>
        <v>1</v>
      </c>
      <c r="M59" s="40">
        <f>K59*1.03</f>
        <v>139243.125</v>
      </c>
      <c r="P59" t="str">
        <f t="shared" si="18"/>
        <v>Administration-Salaries - Administrator</v>
      </c>
      <c r="Q59" t="str">
        <f>IFERROR(VLOOKUP($P59,'Short Crosswalk'!$A$1:$G$29,4,0),"")</f>
        <v>Administration</v>
      </c>
      <c r="R59" t="str">
        <f>IFERROR(VLOOKUP($P59,'Short Crosswalk'!$A$1:$G$29,7,0),"")</f>
        <v>01-Professional Salaries</v>
      </c>
      <c r="S59" t="str">
        <f t="shared" si="19"/>
        <v>Administration 01-Professional Salaries</v>
      </c>
      <c r="T59">
        <f t="shared" si="20"/>
        <v>1</v>
      </c>
    </row>
    <row r="60" spans="1:20" ht="25.5" customHeight="1">
      <c r="A60" s="96"/>
      <c r="B60" s="92"/>
      <c r="C60" s="51" t="str">
        <f t="shared" si="31"/>
        <v>Teachers</v>
      </c>
      <c r="D60" s="51" t="str">
        <f t="shared" si="31"/>
        <v>01-Professional Salaries</v>
      </c>
      <c r="E60" s="51" t="s">
        <v>41</v>
      </c>
      <c r="F60" s="51" t="s">
        <v>44</v>
      </c>
      <c r="G60" s="55" t="s">
        <v>96</v>
      </c>
      <c r="H60" s="80">
        <f>4</f>
        <v>4</v>
      </c>
      <c r="I60" s="40">
        <f>369232</f>
        <v>369232</v>
      </c>
      <c r="J60" s="41">
        <f t="shared" ref="J60:J61" si="33">H60</f>
        <v>4</v>
      </c>
      <c r="K60" s="40">
        <f t="shared" si="32"/>
        <v>380308.96</v>
      </c>
      <c r="L60" s="41">
        <f t="shared" ref="L60:L61" si="34">J60</f>
        <v>4</v>
      </c>
      <c r="M60" s="40">
        <f t="shared" ref="M60:M63" si="35">K60*1.03</f>
        <v>391718.22880000004</v>
      </c>
      <c r="P60" t="str">
        <f t="shared" si="18"/>
        <v>Classroom &amp; Specialist Teachers-Salaries - Instructional</v>
      </c>
      <c r="Q60" t="str">
        <f>IFERROR(VLOOKUP($P60,'Short Crosswalk'!$A$1:$G$29,4,0),"")</f>
        <v>Teachers</v>
      </c>
      <c r="R60" t="str">
        <f>IFERROR(VLOOKUP($P60,'Short Crosswalk'!$A$1:$G$29,7,0),"")</f>
        <v>01-Professional Salaries</v>
      </c>
      <c r="S60" t="str">
        <f t="shared" si="19"/>
        <v>Teachers 01-Professional Salaries</v>
      </c>
      <c r="T60">
        <f t="shared" si="20"/>
        <v>1</v>
      </c>
    </row>
    <row r="61" spans="1:20" ht="24" customHeight="1">
      <c r="A61" s="96"/>
      <c r="B61" s="92"/>
      <c r="C61" s="51" t="str">
        <f t="shared" si="31"/>
        <v>Other Teaching Services</v>
      </c>
      <c r="D61" s="51" t="str">
        <f t="shared" si="31"/>
        <v>02-Clerical Salaries</v>
      </c>
      <c r="E61" s="51" t="s">
        <v>97</v>
      </c>
      <c r="F61" s="51" t="s">
        <v>79</v>
      </c>
      <c r="G61" s="55" t="s">
        <v>98</v>
      </c>
      <c r="H61" s="80">
        <v>28</v>
      </c>
      <c r="I61" s="40">
        <v>1069516</v>
      </c>
      <c r="J61" s="41">
        <f t="shared" si="33"/>
        <v>28</v>
      </c>
      <c r="K61" s="40">
        <f t="shared" si="32"/>
        <v>1101601.48</v>
      </c>
      <c r="L61" s="41">
        <f t="shared" si="34"/>
        <v>28</v>
      </c>
      <c r="M61" s="40">
        <f t="shared" si="35"/>
        <v>1134649.5244</v>
      </c>
      <c r="P61" t="str">
        <f t="shared" si="18"/>
        <v>Other Teaching Services-Salaries - Clerical/Support</v>
      </c>
      <c r="Q61" t="str">
        <f>IFERROR(VLOOKUP($P61,'Short Crosswalk'!$A$1:$G$29,4,0),"")</f>
        <v>Other Teaching Services</v>
      </c>
      <c r="R61" t="str">
        <f>IFERROR(VLOOKUP($P61,'Short Crosswalk'!$A$1:$G$29,7,0),"")</f>
        <v>02-Clerical Salaries</v>
      </c>
      <c r="S61" t="str">
        <f t="shared" si="19"/>
        <v>Other Teaching Services 02-Clerical Salaries</v>
      </c>
      <c r="T61">
        <f t="shared" si="20"/>
        <v>2</v>
      </c>
    </row>
    <row r="62" spans="1:20" ht="25.5" customHeight="1">
      <c r="A62" s="96"/>
      <c r="B62" s="92"/>
      <c r="C62" s="51" t="str">
        <f t="shared" si="31"/>
        <v xml:space="preserve">Operations and Maintenance </v>
      </c>
      <c r="D62" s="51" t="str">
        <f t="shared" si="31"/>
        <v>05-Supplies and Materials</v>
      </c>
      <c r="E62" s="51" t="s">
        <v>29</v>
      </c>
      <c r="F62" s="51" t="s">
        <v>34</v>
      </c>
      <c r="G62" s="55" t="s">
        <v>99</v>
      </c>
      <c r="H62" s="54"/>
      <c r="I62" s="40">
        <v>0</v>
      </c>
      <c r="J62" s="54"/>
      <c r="K62" s="40">
        <f t="shared" si="32"/>
        <v>0</v>
      </c>
      <c r="L62" s="54"/>
      <c r="M62" s="40">
        <f t="shared" si="35"/>
        <v>0</v>
      </c>
      <c r="P62" t="str">
        <f t="shared" si="18"/>
        <v>Operations and Maintenance-Supplies and Materials</v>
      </c>
      <c r="Q62" t="str">
        <f>IFERROR(VLOOKUP($P62,'Short Crosswalk'!$A$1:$G$29,4,0),"")</f>
        <v xml:space="preserve">Operations and Maintenance </v>
      </c>
      <c r="R62" t="str">
        <f>IFERROR(VLOOKUP($P62,'Short Crosswalk'!$A$1:$G$29,7,0),"")</f>
        <v>05-Supplies and Materials</v>
      </c>
      <c r="S62" t="str">
        <f t="shared" si="19"/>
        <v>Operations and Maintenance  05-Supplies and Materials</v>
      </c>
      <c r="T62">
        <f t="shared" si="20"/>
        <v>5</v>
      </c>
    </row>
    <row r="63" spans="1:20" ht="45">
      <c r="A63" s="96"/>
      <c r="B63" s="92"/>
      <c r="C63" s="51" t="str">
        <f t="shared" si="31"/>
        <v xml:space="preserve">Instructional Materials, Equipment and Technology </v>
      </c>
      <c r="D63" s="51" t="str">
        <f t="shared" si="31"/>
        <v>05-Supplies and Materials</v>
      </c>
      <c r="E63" s="51" t="s">
        <v>29</v>
      </c>
      <c r="F63" s="51" t="s">
        <v>30</v>
      </c>
      <c r="G63" s="55" t="s">
        <v>100</v>
      </c>
      <c r="H63" s="54"/>
      <c r="I63" s="40">
        <v>0</v>
      </c>
      <c r="J63" s="54"/>
      <c r="K63" s="40">
        <f t="shared" si="32"/>
        <v>0</v>
      </c>
      <c r="L63" s="54"/>
      <c r="M63" s="40">
        <f t="shared" si="35"/>
        <v>0</v>
      </c>
      <c r="P63" t="str">
        <f t="shared" si="1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19"/>
        <v>Instructional Materials, Equipment and Technology  05-Supplies and Materials</v>
      </c>
      <c r="T63">
        <f t="shared" si="20"/>
        <v>5</v>
      </c>
    </row>
    <row r="64" spans="1:20" ht="25.5" customHeight="1">
      <c r="A64" s="96"/>
      <c r="B64" s="92"/>
      <c r="C64" s="51" t="str">
        <f t="shared" si="31"/>
        <v xml:space="preserve">Benefits and Fixed Charges </v>
      </c>
      <c r="D64" s="51" t="str">
        <f t="shared" si="31"/>
        <v>04-Contracted Services</v>
      </c>
      <c r="E64" s="51" t="s">
        <v>27</v>
      </c>
      <c r="F64" s="51" t="s">
        <v>36</v>
      </c>
      <c r="G64" s="55" t="s">
        <v>37</v>
      </c>
      <c r="H64" s="54"/>
      <c r="I64" s="79">
        <f>(28+4+1)*15062</f>
        <v>497046</v>
      </c>
      <c r="J64" s="54"/>
      <c r="K64" s="79">
        <f>I64*1.05</f>
        <v>521898.30000000005</v>
      </c>
      <c r="L64" s="54"/>
      <c r="M64" s="79">
        <f>K64*1.05</f>
        <v>547993.21500000008</v>
      </c>
      <c r="P64" t="str">
        <f t="shared" si="18"/>
        <v>Benefits and Fixed Charges -Contractual Services</v>
      </c>
      <c r="Q64" t="str">
        <f>IFERROR(VLOOKUP($P64,'Short Crosswalk'!$A$1:$G$29,4,0),"")</f>
        <v xml:space="preserve">Benefits and Fixed Charges </v>
      </c>
      <c r="R64" t="str">
        <f>IFERROR(VLOOKUP($P64,'Short Crosswalk'!$A$1:$G$29,7,0),"")</f>
        <v>04-Contracted Services</v>
      </c>
      <c r="S64" t="str">
        <f t="shared" si="19"/>
        <v>Benefits and Fixed Charges  04-Contracted Services</v>
      </c>
      <c r="T64">
        <f t="shared" si="20"/>
        <v>4</v>
      </c>
    </row>
    <row r="65" spans="1:20" ht="13.5" customHeight="1">
      <c r="A65" s="96"/>
      <c r="B65" s="57"/>
      <c r="C65" s="58"/>
      <c r="D65" s="58"/>
      <c r="E65" s="58"/>
      <c r="F65" s="58"/>
      <c r="G65" s="59" t="s">
        <v>38</v>
      </c>
      <c r="H65" s="60">
        <f>SUM(H59+H60+H61)</f>
        <v>33</v>
      </c>
      <c r="I65" s="61">
        <f>SUM(I59:I64)</f>
        <v>2067044</v>
      </c>
      <c r="J65" s="60">
        <f>SUM(J59+J60+J61)</f>
        <v>33</v>
      </c>
      <c r="K65" s="61">
        <f>SUM(K59:K64)</f>
        <v>2138996.2400000002</v>
      </c>
      <c r="L65" s="60">
        <f>SUM(L59+L60+L61)</f>
        <v>33</v>
      </c>
      <c r="M65" s="61">
        <f>SUM(M59:M64)</f>
        <v>2213604.0932</v>
      </c>
      <c r="N65" s="62">
        <f>SUM(I65+K65+M65)</f>
        <v>6419644.3332000002</v>
      </c>
      <c r="P65" t="str">
        <f t="shared" si="18"/>
        <v>-</v>
      </c>
      <c r="Q65" t="str">
        <f>IFERROR(VLOOKUP($P65,'Short Crosswalk'!$A$1:$G$29,4,0),"")</f>
        <v/>
      </c>
      <c r="R65" t="str">
        <f>IFERROR(VLOOKUP($P65,'Short Crosswalk'!$A$1:$G$29,7,0),"")</f>
        <v/>
      </c>
      <c r="S65" t="str">
        <f t="shared" si="19"/>
        <v xml:space="preserve"> </v>
      </c>
      <c r="T65" t="str">
        <f t="shared" si="20"/>
        <v/>
      </c>
    </row>
    <row r="66" spans="1:20" ht="23.45" customHeight="1">
      <c r="A66" s="96"/>
      <c r="B66" s="97" t="s">
        <v>101</v>
      </c>
      <c r="C66" s="51" t="str">
        <f>Q66</f>
        <v>Teachers</v>
      </c>
      <c r="D66" s="51" t="str">
        <f>R66</f>
        <v>01-Professional Salaries</v>
      </c>
      <c r="E66" s="51" t="s">
        <v>53</v>
      </c>
      <c r="F66" s="51" t="s">
        <v>44</v>
      </c>
      <c r="G66" s="55" t="s">
        <v>102</v>
      </c>
      <c r="H66" s="64"/>
      <c r="I66" s="40">
        <v>0</v>
      </c>
      <c r="J66" s="54"/>
      <c r="K66" s="40">
        <f t="shared" ref="K66:K67" si="36">I66*1.03</f>
        <v>0</v>
      </c>
      <c r="L66" s="54"/>
      <c r="M66" s="40">
        <f>K66*1.03</f>
        <v>0</v>
      </c>
      <c r="P66" t="str">
        <f t="shared" si="18"/>
        <v>Classroom &amp; Specialist Teachers-Stipends</v>
      </c>
      <c r="Q66" t="str">
        <f>IFERROR(VLOOKUP($P66,'Short Crosswalk'!$A$1:$G$29,4,0),"")</f>
        <v>Teachers</v>
      </c>
      <c r="R66" t="str">
        <f>IFERROR(VLOOKUP($P66,'Short Crosswalk'!$A$1:$G$29,7,0),"")</f>
        <v>01-Professional Salaries</v>
      </c>
      <c r="S66" t="str">
        <f t="shared" si="19"/>
        <v>Teachers 01-Professional Salaries</v>
      </c>
      <c r="T66">
        <f t="shared" si="20"/>
        <v>1</v>
      </c>
    </row>
    <row r="67" spans="1:20" ht="24" customHeight="1">
      <c r="A67" s="96"/>
      <c r="B67" s="97"/>
      <c r="C67" s="51" t="str">
        <f>Q67</f>
        <v>Other Teaching Services</v>
      </c>
      <c r="D67" s="51" t="str">
        <f>R67</f>
        <v>04-Contracted Services</v>
      </c>
      <c r="E67" s="51" t="s">
        <v>27</v>
      </c>
      <c r="F67" s="51" t="s">
        <v>79</v>
      </c>
      <c r="G67" s="55" t="s">
        <v>103</v>
      </c>
      <c r="H67" s="64"/>
      <c r="I67" s="40">
        <v>0</v>
      </c>
      <c r="J67" s="54"/>
      <c r="K67" s="40">
        <f t="shared" si="36"/>
        <v>0</v>
      </c>
      <c r="L67" s="54"/>
      <c r="M67" s="40">
        <f>K67*1.03</f>
        <v>0</v>
      </c>
      <c r="P67" t="str">
        <f t="shared" si="18"/>
        <v>Other Teaching Services-Contractual Services</v>
      </c>
      <c r="Q67" t="str">
        <f>IFERROR(VLOOKUP($P67,'Short Crosswalk'!$A$1:$G$29,4,0),"")</f>
        <v>Other Teaching Services</v>
      </c>
      <c r="R67" t="str">
        <f>IFERROR(VLOOKUP($P67,'Short Crosswalk'!$A$1:$G$29,7,0),"")</f>
        <v>04-Contracted Services</v>
      </c>
      <c r="S67" t="str">
        <f t="shared" si="19"/>
        <v>Other Teaching Services 04-Contracted Services</v>
      </c>
      <c r="T67">
        <f t="shared" si="20"/>
        <v>4</v>
      </c>
    </row>
    <row r="68" spans="1:20" ht="13.5" customHeight="1">
      <c r="A68" s="96"/>
      <c r="B68" s="57"/>
      <c r="C68" s="58"/>
      <c r="D68" s="58"/>
      <c r="E68" s="58"/>
      <c r="F68" s="58"/>
      <c r="G68" s="59" t="s">
        <v>38</v>
      </c>
      <c r="H68" s="63"/>
      <c r="I68" s="61">
        <f>SUM(I66:I67)</f>
        <v>0</v>
      </c>
      <c r="J68" s="60"/>
      <c r="K68" s="61">
        <f>SUM(K66:K67)</f>
        <v>0</v>
      </c>
      <c r="L68" s="60"/>
      <c r="M68" s="61">
        <f>SUM(M66:M67)</f>
        <v>0</v>
      </c>
      <c r="N68" s="62">
        <f>SUM(I68+K68+M68)</f>
        <v>0</v>
      </c>
      <c r="P68" t="str">
        <f t="shared" si="18"/>
        <v>-</v>
      </c>
      <c r="Q68" t="str">
        <f>IFERROR(VLOOKUP($P68,'Short Crosswalk'!$A$1:$G$29,4,0),"")</f>
        <v/>
      </c>
      <c r="R68" t="str">
        <f>IFERROR(VLOOKUP($P68,'Short Crosswalk'!$A$1:$G$29,7,0),"")</f>
        <v/>
      </c>
      <c r="S68" t="str">
        <f t="shared" si="19"/>
        <v xml:space="preserve"> </v>
      </c>
      <c r="T68" t="str">
        <f t="shared" si="20"/>
        <v/>
      </c>
    </row>
    <row r="69" spans="1:20" ht="25.5" customHeight="1">
      <c r="A69" s="96"/>
      <c r="B69" s="92" t="s">
        <v>104</v>
      </c>
      <c r="C69" s="51" t="str">
        <f t="shared" ref="C69:D72" si="37">Q69</f>
        <v>Teachers</v>
      </c>
      <c r="D69" s="51" t="str">
        <f t="shared" si="37"/>
        <v>01-Professional Salaries</v>
      </c>
      <c r="E69" s="51" t="s">
        <v>41</v>
      </c>
      <c r="F69" s="51" t="s">
        <v>44</v>
      </c>
      <c r="G69" s="55" t="s">
        <v>105</v>
      </c>
      <c r="H69" s="80">
        <v>57</v>
      </c>
      <c r="I69" s="40">
        <v>3470607</v>
      </c>
      <c r="J69" s="41">
        <f>H69</f>
        <v>57</v>
      </c>
      <c r="K69" s="40">
        <f t="shared" ref="K69:K71" si="38">I69*1.03</f>
        <v>3574725.21</v>
      </c>
      <c r="L69" s="41">
        <f>J69</f>
        <v>57</v>
      </c>
      <c r="M69" s="40">
        <f t="shared" ref="M69:M71" si="39">K69*1.03</f>
        <v>3681966.9663</v>
      </c>
      <c r="P69" t="str">
        <f t="shared" ref="P69:P93" si="40">_xlfn.CONCAT(F69,"-",E69)</f>
        <v>Classroom &amp; Specialist Teachers-Salaries - Instructional</v>
      </c>
      <c r="Q69" t="str">
        <f>IFERROR(VLOOKUP($P69,'Short Crosswalk'!$A$1:$G$29,4,0),"")</f>
        <v>Teachers</v>
      </c>
      <c r="R69" t="str">
        <f>IFERROR(VLOOKUP($P69,'Short Crosswalk'!$A$1:$G$29,7,0),"")</f>
        <v>01-Professional Salaries</v>
      </c>
      <c r="S69" t="str">
        <f t="shared" ref="S69:S93" si="41">_xlfn.CONCAT(Q69," ", R69)</f>
        <v>Teachers 01-Professional Salaries</v>
      </c>
      <c r="T69">
        <f t="shared" ref="T69:T93" si="42">IFERROR(VALUE(LEFT(D69,2)),"")</f>
        <v>1</v>
      </c>
    </row>
    <row r="70" spans="1:20" ht="33.75">
      <c r="A70" s="96"/>
      <c r="B70" s="92"/>
      <c r="C70" s="51" t="str">
        <f t="shared" si="37"/>
        <v>Professional Development</v>
      </c>
      <c r="D70" s="51" t="str">
        <f t="shared" si="37"/>
        <v>04-Contracted Services</v>
      </c>
      <c r="E70" s="51" t="s">
        <v>27</v>
      </c>
      <c r="F70" s="51" t="s">
        <v>32</v>
      </c>
      <c r="G70" s="55" t="s">
        <v>106</v>
      </c>
      <c r="H70" s="54"/>
      <c r="I70" s="40">
        <v>0</v>
      </c>
      <c r="J70" s="54"/>
      <c r="K70" s="40">
        <f t="shared" si="38"/>
        <v>0</v>
      </c>
      <c r="L70" s="54"/>
      <c r="M70" s="40">
        <f t="shared" si="39"/>
        <v>0</v>
      </c>
      <c r="P70" t="str">
        <f t="shared" si="40"/>
        <v>Professional Development-Contractual Services</v>
      </c>
      <c r="Q70" t="str">
        <f>IFERROR(VLOOKUP($P70,'Short Crosswalk'!$A$1:$G$29,4,0),"")</f>
        <v>Professional Development</v>
      </c>
      <c r="R70" t="str">
        <f>IFERROR(VLOOKUP($P70,'Short Crosswalk'!$A$1:$G$29,7,0),"")</f>
        <v>04-Contracted Services</v>
      </c>
      <c r="S70" t="str">
        <f t="shared" si="41"/>
        <v>Professional Development 04-Contracted Services</v>
      </c>
      <c r="T70">
        <f t="shared" si="42"/>
        <v>4</v>
      </c>
    </row>
    <row r="71" spans="1:20" ht="45">
      <c r="A71" s="96"/>
      <c r="B71" s="92"/>
      <c r="C71" s="51" t="str">
        <f t="shared" si="37"/>
        <v xml:space="preserve">Instructional Materials, Equipment and Technology </v>
      </c>
      <c r="D71" s="51" t="str">
        <f t="shared" si="37"/>
        <v>05-Supplies and Materials</v>
      </c>
      <c r="E71" s="51" t="s">
        <v>29</v>
      </c>
      <c r="F71" s="51" t="s">
        <v>30</v>
      </c>
      <c r="G71" s="55" t="s">
        <v>107</v>
      </c>
      <c r="H71" s="54"/>
      <c r="I71" s="40">
        <v>50000</v>
      </c>
      <c r="J71" s="54"/>
      <c r="K71" s="40">
        <f t="shared" si="38"/>
        <v>51500</v>
      </c>
      <c r="L71" s="54"/>
      <c r="M71" s="40">
        <f t="shared" si="39"/>
        <v>53045</v>
      </c>
      <c r="P71" t="str">
        <f t="shared" si="40"/>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41"/>
        <v>Instructional Materials, Equipment and Technology  05-Supplies and Materials</v>
      </c>
      <c r="T71">
        <f t="shared" si="42"/>
        <v>5</v>
      </c>
    </row>
    <row r="72" spans="1:20" ht="27" customHeight="1">
      <c r="A72" s="96"/>
      <c r="B72" s="92"/>
      <c r="C72" s="51" t="str">
        <f t="shared" si="37"/>
        <v xml:space="preserve">Benefits and Fixed Charges </v>
      </c>
      <c r="D72" s="51" t="str">
        <f t="shared" si="37"/>
        <v>04-Contracted Services</v>
      </c>
      <c r="E72" s="51" t="s">
        <v>27</v>
      </c>
      <c r="F72" s="51" t="s">
        <v>36</v>
      </c>
      <c r="G72" s="55" t="s">
        <v>37</v>
      </c>
      <c r="H72" s="54"/>
      <c r="I72" s="79">
        <f>57*15062</f>
        <v>858534</v>
      </c>
      <c r="J72" s="54"/>
      <c r="K72" s="79">
        <f>I72*1.05</f>
        <v>901460.70000000007</v>
      </c>
      <c r="L72" s="54"/>
      <c r="M72" s="79">
        <f>K72*1.05</f>
        <v>946533.7350000001</v>
      </c>
      <c r="P72" t="str">
        <f t="shared" si="40"/>
        <v>Benefits and Fixed Charges -Contractual Services</v>
      </c>
      <c r="Q72" t="str">
        <f>IFERROR(VLOOKUP($P72,'Short Crosswalk'!$A$1:$G$29,4,0),"")</f>
        <v xml:space="preserve">Benefits and Fixed Charges </v>
      </c>
      <c r="R72" t="str">
        <f>IFERROR(VLOOKUP($P72,'Short Crosswalk'!$A$1:$G$29,7,0),"")</f>
        <v>04-Contracted Services</v>
      </c>
      <c r="S72" t="str">
        <f t="shared" si="41"/>
        <v>Benefits and Fixed Charges  04-Contracted Services</v>
      </c>
      <c r="T72">
        <f t="shared" si="42"/>
        <v>4</v>
      </c>
    </row>
    <row r="73" spans="1:20" ht="13.5" customHeight="1">
      <c r="A73" s="96"/>
      <c r="B73" s="57"/>
      <c r="C73" s="58"/>
      <c r="D73" s="58"/>
      <c r="E73" s="58"/>
      <c r="F73" s="58"/>
      <c r="G73" s="59" t="s">
        <v>38</v>
      </c>
      <c r="H73" s="60">
        <f>H69</f>
        <v>57</v>
      </c>
      <c r="I73" s="61">
        <f>SUM(I69:I72)</f>
        <v>4379141</v>
      </c>
      <c r="J73" s="60">
        <f>J69</f>
        <v>57</v>
      </c>
      <c r="K73" s="61">
        <f>SUM(K69:K72)</f>
        <v>4527685.91</v>
      </c>
      <c r="L73" s="60">
        <f>L69</f>
        <v>57</v>
      </c>
      <c r="M73" s="61">
        <f>SUM(M69:M72)</f>
        <v>4681545.7012999998</v>
      </c>
      <c r="N73" s="62">
        <f>SUM(I73+K73+M73)</f>
        <v>13588372.611299999</v>
      </c>
      <c r="P73" t="str">
        <f t="shared" si="40"/>
        <v>-</v>
      </c>
      <c r="Q73" t="str">
        <f>IFERROR(VLOOKUP($P73,'Short Crosswalk'!$A$1:$G$29,4,0),"")</f>
        <v/>
      </c>
      <c r="R73" t="str">
        <f>IFERROR(VLOOKUP($P73,'Short Crosswalk'!$A$1:$G$29,7,0),"")</f>
        <v/>
      </c>
      <c r="S73" t="str">
        <f t="shared" si="41"/>
        <v xml:space="preserve"> </v>
      </c>
      <c r="T73" t="str">
        <f t="shared" si="42"/>
        <v/>
      </c>
    </row>
    <row r="74" spans="1:20" ht="26.45" customHeight="1">
      <c r="A74" s="96"/>
      <c r="B74" s="92" t="s">
        <v>108</v>
      </c>
      <c r="C74" s="51" t="str">
        <f t="shared" ref="C74:D76" si="43">Q74</f>
        <v>Teachers</v>
      </c>
      <c r="D74" s="51" t="str">
        <f t="shared" si="43"/>
        <v>01-Professional Salaries</v>
      </c>
      <c r="E74" s="51" t="s">
        <v>41</v>
      </c>
      <c r="F74" s="51" t="s">
        <v>44</v>
      </c>
      <c r="G74" s="55" t="s">
        <v>109</v>
      </c>
      <c r="H74" s="80">
        <v>312</v>
      </c>
      <c r="I74" s="40">
        <v>27813526</v>
      </c>
      <c r="J74" s="41">
        <f>H74</f>
        <v>312</v>
      </c>
      <c r="K74" s="40">
        <f t="shared" ref="K74:K75" si="44">I74*1.03</f>
        <v>28647931.780000001</v>
      </c>
      <c r="L74" s="41">
        <f>J74</f>
        <v>312</v>
      </c>
      <c r="M74" s="40">
        <f t="shared" ref="M74:M75" si="45">K74*1.03</f>
        <v>29507369.733400002</v>
      </c>
      <c r="P74" t="str">
        <f t="shared" si="40"/>
        <v>Classroom &amp; Specialist Teachers-Salaries - Instructional</v>
      </c>
      <c r="Q74" t="str">
        <f>IFERROR(VLOOKUP($P74,'Short Crosswalk'!$A$1:$G$29,4,0),"")</f>
        <v>Teachers</v>
      </c>
      <c r="R74" t="str">
        <f>IFERROR(VLOOKUP($P74,'Short Crosswalk'!$A$1:$G$29,7,0),"")</f>
        <v>01-Professional Salaries</v>
      </c>
      <c r="S74" t="str">
        <f t="shared" si="41"/>
        <v>Teachers 01-Professional Salaries</v>
      </c>
      <c r="T74">
        <f t="shared" si="42"/>
        <v>1</v>
      </c>
    </row>
    <row r="75" spans="1:20" ht="45">
      <c r="A75" s="96"/>
      <c r="B75" s="92"/>
      <c r="C75" s="51" t="str">
        <f t="shared" si="43"/>
        <v xml:space="preserve">Instructional Materials, Equipment and Technology </v>
      </c>
      <c r="D75" s="51" t="str">
        <f t="shared" si="43"/>
        <v>05-Supplies and Materials</v>
      </c>
      <c r="E75" s="51" t="s">
        <v>29</v>
      </c>
      <c r="F75" s="51" t="s">
        <v>30</v>
      </c>
      <c r="G75" s="55" t="s">
        <v>110</v>
      </c>
      <c r="H75" s="54"/>
      <c r="I75" s="40">
        <v>25000</v>
      </c>
      <c r="J75" s="54"/>
      <c r="K75" s="40">
        <f t="shared" si="44"/>
        <v>25750</v>
      </c>
      <c r="L75" s="54"/>
      <c r="M75" s="40">
        <f t="shared" si="45"/>
        <v>26522.5</v>
      </c>
      <c r="P75" t="str">
        <f t="shared" si="40"/>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41"/>
        <v>Instructional Materials, Equipment and Technology  05-Supplies and Materials</v>
      </c>
      <c r="T75">
        <f t="shared" si="42"/>
        <v>5</v>
      </c>
    </row>
    <row r="76" spans="1:20" ht="26.45" customHeight="1">
      <c r="A76" s="96"/>
      <c r="B76" s="92"/>
      <c r="C76" s="51" t="str">
        <f t="shared" si="43"/>
        <v xml:space="preserve">Benefits and Fixed Charges </v>
      </c>
      <c r="D76" s="51" t="str">
        <f t="shared" si="43"/>
        <v>04-Contracted Services</v>
      </c>
      <c r="E76" s="51" t="s">
        <v>27</v>
      </c>
      <c r="F76" s="51" t="s">
        <v>36</v>
      </c>
      <c r="G76" s="55" t="s">
        <v>37</v>
      </c>
      <c r="H76" s="54"/>
      <c r="I76" s="79">
        <f>312*15062</f>
        <v>4699344</v>
      </c>
      <c r="J76" s="54"/>
      <c r="K76" s="79">
        <f>I76*1.05</f>
        <v>4934311.2</v>
      </c>
      <c r="L76" s="54"/>
      <c r="M76" s="79">
        <f>K76*1.05</f>
        <v>5181026.7600000007</v>
      </c>
      <c r="P76" t="str">
        <f t="shared" si="40"/>
        <v>Benefits and Fixed Charges -Contractual Services</v>
      </c>
      <c r="Q76" t="str">
        <f>IFERROR(VLOOKUP($P76,'Short Crosswalk'!$A$1:$G$29,4,0),"")</f>
        <v xml:space="preserve">Benefits and Fixed Charges </v>
      </c>
      <c r="R76" t="str">
        <f>IFERROR(VLOOKUP($P76,'Short Crosswalk'!$A$1:$G$29,7,0),"")</f>
        <v>04-Contracted Services</v>
      </c>
      <c r="S76" t="str">
        <f t="shared" si="41"/>
        <v>Benefits and Fixed Charges  04-Contracted Services</v>
      </c>
      <c r="T76">
        <f t="shared" si="42"/>
        <v>4</v>
      </c>
    </row>
    <row r="77" spans="1:20" ht="13.5" customHeight="1">
      <c r="A77" s="56"/>
      <c r="B77" s="57"/>
      <c r="C77" s="58"/>
      <c r="D77" s="58"/>
      <c r="E77" s="58"/>
      <c r="F77" s="58"/>
      <c r="G77" s="59" t="s">
        <v>38</v>
      </c>
      <c r="H77" s="60">
        <f>H74</f>
        <v>312</v>
      </c>
      <c r="I77" s="61">
        <f>SUM(I74:I76)</f>
        <v>32537870</v>
      </c>
      <c r="J77" s="60">
        <f>J74</f>
        <v>312</v>
      </c>
      <c r="K77" s="61">
        <f>SUM(K74:K76)</f>
        <v>33607992.980000004</v>
      </c>
      <c r="L77" s="60">
        <f>L74</f>
        <v>312</v>
      </c>
      <c r="M77" s="61">
        <f>SUM(M74:M76)</f>
        <v>34714918.9934</v>
      </c>
      <c r="N77" s="62">
        <f>SUM(I77+K77+M77)</f>
        <v>100860781.9734</v>
      </c>
      <c r="P77" t="str">
        <f t="shared" si="40"/>
        <v>-</v>
      </c>
      <c r="Q77" t="str">
        <f>IFERROR(VLOOKUP($P77,'Short Crosswalk'!$A$1:$G$29,4,0),"")</f>
        <v/>
      </c>
      <c r="R77" t="str">
        <f>IFERROR(VLOOKUP($P77,'Short Crosswalk'!$A$1:$G$29,7,0),"")</f>
        <v/>
      </c>
      <c r="S77" t="str">
        <f t="shared" si="41"/>
        <v xml:space="preserve"> </v>
      </c>
      <c r="T77" t="str">
        <f t="shared" si="42"/>
        <v/>
      </c>
    </row>
    <row r="78" spans="1:20" ht="23.45" customHeight="1">
      <c r="A78" s="91" t="s">
        <v>111</v>
      </c>
      <c r="B78" s="92" t="s">
        <v>112</v>
      </c>
      <c r="C78" s="51" t="str">
        <f t="shared" ref="C78:D81" si="46">Q78</f>
        <v>Administration</v>
      </c>
      <c r="D78" s="51" t="str">
        <f t="shared" si="46"/>
        <v>01-Professional Salaries</v>
      </c>
      <c r="E78" s="51" t="s">
        <v>93</v>
      </c>
      <c r="F78" s="51" t="s">
        <v>94</v>
      </c>
      <c r="G78" s="55" t="s">
        <v>113</v>
      </c>
      <c r="H78" s="41">
        <v>2</v>
      </c>
      <c r="I78" s="40">
        <v>327787</v>
      </c>
      <c r="J78" s="41">
        <f>H78</f>
        <v>2</v>
      </c>
      <c r="K78" s="40">
        <f t="shared" ref="K78:K80" si="47">I78*1.03</f>
        <v>337620.61</v>
      </c>
      <c r="L78" s="41">
        <f>J78</f>
        <v>2</v>
      </c>
      <c r="M78" s="40">
        <f t="shared" ref="M78:M80" si="48">K78*1.03</f>
        <v>347749.22830000002</v>
      </c>
      <c r="P78" t="str">
        <f t="shared" si="40"/>
        <v>Administration-Salaries - Administrator</v>
      </c>
      <c r="Q78" t="str">
        <f>IFERROR(VLOOKUP($P78,'Short Crosswalk'!$A$1:$G$29,4,0),"")</f>
        <v>Administration</v>
      </c>
      <c r="R78" t="str">
        <f>IFERROR(VLOOKUP($P78,'Short Crosswalk'!$A$1:$G$29,7,0),"")</f>
        <v>01-Professional Salaries</v>
      </c>
      <c r="S78" t="str">
        <f t="shared" si="41"/>
        <v>Administration 01-Professional Salaries</v>
      </c>
      <c r="T78">
        <f t="shared" si="42"/>
        <v>1</v>
      </c>
    </row>
    <row r="79" spans="1:20" ht="25.5" customHeight="1">
      <c r="A79" s="91"/>
      <c r="B79" s="92"/>
      <c r="C79" s="51" t="str">
        <f t="shared" si="46"/>
        <v>Other Teaching Services</v>
      </c>
      <c r="D79" s="51" t="str">
        <f t="shared" si="46"/>
        <v>04-Contracted Services</v>
      </c>
      <c r="E79" s="51" t="s">
        <v>27</v>
      </c>
      <c r="F79" s="51" t="s">
        <v>79</v>
      </c>
      <c r="G79" s="55" t="s">
        <v>114</v>
      </c>
      <c r="H79" s="54"/>
      <c r="I79" s="40">
        <v>0</v>
      </c>
      <c r="J79" s="54"/>
      <c r="K79" s="40">
        <f t="shared" si="47"/>
        <v>0</v>
      </c>
      <c r="L79" s="54"/>
      <c r="M79" s="40">
        <f t="shared" si="48"/>
        <v>0</v>
      </c>
      <c r="P79" t="str">
        <f t="shared" si="40"/>
        <v>Other Teaching Services-Contractual Services</v>
      </c>
      <c r="Q79" t="str">
        <f>IFERROR(VLOOKUP($P79,'Short Crosswalk'!$A$1:$G$29,4,0),"")</f>
        <v>Other Teaching Services</v>
      </c>
      <c r="R79" t="str">
        <f>IFERROR(VLOOKUP($P79,'Short Crosswalk'!$A$1:$G$29,7,0),"")</f>
        <v>04-Contracted Services</v>
      </c>
      <c r="S79" t="str">
        <f t="shared" si="41"/>
        <v>Other Teaching Services 04-Contracted Services</v>
      </c>
      <c r="T79">
        <f t="shared" si="42"/>
        <v>4</v>
      </c>
    </row>
    <row r="80" spans="1:20" ht="33.950000000000003" customHeight="1">
      <c r="A80" s="91"/>
      <c r="B80" s="92"/>
      <c r="C80" s="51" t="str">
        <f t="shared" si="46"/>
        <v>Teachers</v>
      </c>
      <c r="D80" s="51" t="str">
        <f t="shared" si="46"/>
        <v>06-Other Expenses</v>
      </c>
      <c r="E80" s="51" t="s">
        <v>89</v>
      </c>
      <c r="F80" s="51" t="s">
        <v>44</v>
      </c>
      <c r="G80" s="55" t="s">
        <v>115</v>
      </c>
      <c r="H80" s="54"/>
      <c r="I80" s="40">
        <v>0</v>
      </c>
      <c r="J80" s="54"/>
      <c r="K80" s="40">
        <f t="shared" si="47"/>
        <v>0</v>
      </c>
      <c r="L80" s="54"/>
      <c r="M80" s="40">
        <f t="shared" si="48"/>
        <v>0</v>
      </c>
      <c r="P80" t="str">
        <f t="shared" si="40"/>
        <v>Classroom &amp; Specialist Teachers-Other</v>
      </c>
      <c r="Q80" t="str">
        <f>IFERROR(VLOOKUP($P80,'Short Crosswalk'!$A$1:$G$29,4,0),"")</f>
        <v>Teachers</v>
      </c>
      <c r="R80" t="str">
        <f>IFERROR(VLOOKUP($P80,'Short Crosswalk'!$A$1:$G$29,7,0),"")</f>
        <v>06-Other Expenses</v>
      </c>
      <c r="S80" t="str">
        <f t="shared" si="41"/>
        <v>Teachers 06-Other Expenses</v>
      </c>
      <c r="T80">
        <f t="shared" si="42"/>
        <v>6</v>
      </c>
    </row>
    <row r="81" spans="1:20" ht="23.45" customHeight="1">
      <c r="A81" s="91"/>
      <c r="B81" s="92"/>
      <c r="C81" s="51" t="str">
        <f t="shared" si="46"/>
        <v xml:space="preserve">Benefits and Fixed Charges </v>
      </c>
      <c r="D81" s="51" t="str">
        <f t="shared" si="46"/>
        <v>04-Contracted Services</v>
      </c>
      <c r="E81" s="51" t="s">
        <v>27</v>
      </c>
      <c r="F81" s="51" t="s">
        <v>36</v>
      </c>
      <c r="G81" s="55" t="s">
        <v>37</v>
      </c>
      <c r="H81" s="54"/>
      <c r="I81" s="79">
        <f>2*15062</f>
        <v>30124</v>
      </c>
      <c r="J81" s="54"/>
      <c r="K81" s="79">
        <f>I81*1.05</f>
        <v>31630.2</v>
      </c>
      <c r="L81" s="54"/>
      <c r="M81" s="79">
        <f>K81*1.05</f>
        <v>33211.71</v>
      </c>
      <c r="P81" t="str">
        <f t="shared" si="40"/>
        <v>Benefits and Fixed Charges -Contractual Services</v>
      </c>
      <c r="Q81" t="str">
        <f>IFERROR(VLOOKUP($P81,'Short Crosswalk'!$A$1:$G$29,4,0),"")</f>
        <v xml:space="preserve">Benefits and Fixed Charges </v>
      </c>
      <c r="R81" t="str">
        <f>IFERROR(VLOOKUP($P81,'Short Crosswalk'!$A$1:$G$29,7,0),"")</f>
        <v>04-Contracted Services</v>
      </c>
      <c r="S81" t="str">
        <f t="shared" si="41"/>
        <v>Benefits and Fixed Charges  04-Contracted Services</v>
      </c>
      <c r="T81">
        <f t="shared" si="42"/>
        <v>4</v>
      </c>
    </row>
    <row r="82" spans="1:20" ht="13.5" customHeight="1">
      <c r="A82" s="56"/>
      <c r="B82" s="57"/>
      <c r="C82" s="58"/>
      <c r="D82" s="58"/>
      <c r="E82" s="58"/>
      <c r="F82" s="58"/>
      <c r="G82" s="59" t="s">
        <v>38</v>
      </c>
      <c r="H82" s="60">
        <f>H78</f>
        <v>2</v>
      </c>
      <c r="I82" s="61">
        <f>SUM(I78:I81)</f>
        <v>357911</v>
      </c>
      <c r="J82" s="60">
        <f>J78</f>
        <v>2</v>
      </c>
      <c r="K82" s="61">
        <f>SUM(K78:K81)</f>
        <v>369250.81</v>
      </c>
      <c r="L82" s="60">
        <f>L78</f>
        <v>2</v>
      </c>
      <c r="M82" s="61">
        <f>SUM(M78:M81)</f>
        <v>380960.93830000004</v>
      </c>
      <c r="N82" s="62">
        <f>SUM(I82+K82+M82)</f>
        <v>1108122.7483000001</v>
      </c>
      <c r="P82" t="str">
        <f t="shared" si="40"/>
        <v>-</v>
      </c>
      <c r="Q82" t="str">
        <f>IFERROR(VLOOKUP($P82,'Short Crosswalk'!$A$1:$G$29,4,0),"")</f>
        <v/>
      </c>
      <c r="R82" t="str">
        <f>IFERROR(VLOOKUP($P82,'Short Crosswalk'!$A$1:$G$29,7,0),"")</f>
        <v/>
      </c>
      <c r="S82" t="str">
        <f t="shared" si="41"/>
        <v xml:space="preserve"> </v>
      </c>
      <c r="T82" t="str">
        <f t="shared" si="42"/>
        <v/>
      </c>
    </row>
    <row r="83" spans="1:20" ht="23.45" customHeight="1">
      <c r="A83" s="91" t="s">
        <v>116</v>
      </c>
      <c r="B83" s="92" t="s">
        <v>117</v>
      </c>
      <c r="C83" s="51" t="str">
        <f t="shared" ref="C83:D85" si="49">Q83</f>
        <v>Professional Development</v>
      </c>
      <c r="D83" s="51" t="str">
        <f t="shared" si="49"/>
        <v>04-Contracted Services</v>
      </c>
      <c r="E83" s="51" t="s">
        <v>27</v>
      </c>
      <c r="F83" s="51" t="s">
        <v>32</v>
      </c>
      <c r="G83" s="55" t="s">
        <v>118</v>
      </c>
      <c r="H83" s="54"/>
      <c r="I83" s="40">
        <v>0</v>
      </c>
      <c r="J83" s="54"/>
      <c r="K83" s="40">
        <f t="shared" ref="K83:K85" si="50">I83*1.03</f>
        <v>0</v>
      </c>
      <c r="L83" s="54"/>
      <c r="M83" s="40">
        <f t="shared" ref="M83:M85" si="51">K83*1.03</f>
        <v>0</v>
      </c>
      <c r="P83" t="str">
        <f t="shared" si="40"/>
        <v>Professional Development-Contractual Services</v>
      </c>
      <c r="Q83" t="str">
        <f>IFERROR(VLOOKUP($P83,'Short Crosswalk'!$A$1:$G$29,4,0),"")</f>
        <v>Professional Development</v>
      </c>
      <c r="R83" t="str">
        <f>IFERROR(VLOOKUP($P83,'Short Crosswalk'!$A$1:$G$29,7,0),"")</f>
        <v>04-Contracted Services</v>
      </c>
      <c r="S83" t="str">
        <f t="shared" si="41"/>
        <v>Professional Development 04-Contracted Services</v>
      </c>
      <c r="T83">
        <f t="shared" si="42"/>
        <v>4</v>
      </c>
    </row>
    <row r="84" spans="1:20" ht="24" customHeight="1">
      <c r="A84" s="91"/>
      <c r="B84" s="92"/>
      <c r="C84" s="51" t="str">
        <f t="shared" si="49"/>
        <v>Teachers</v>
      </c>
      <c r="D84" s="51" t="str">
        <f t="shared" si="49"/>
        <v>01-Professional Salaries</v>
      </c>
      <c r="E84" s="51" t="s">
        <v>53</v>
      </c>
      <c r="F84" s="51" t="s">
        <v>44</v>
      </c>
      <c r="G84" s="55" t="s">
        <v>119</v>
      </c>
      <c r="H84" s="54"/>
      <c r="I84" s="40">
        <v>284700</v>
      </c>
      <c r="J84" s="54"/>
      <c r="K84" s="40">
        <f t="shared" si="50"/>
        <v>293241</v>
      </c>
      <c r="L84" s="54"/>
      <c r="M84" s="40">
        <f t="shared" si="51"/>
        <v>302038.23</v>
      </c>
      <c r="P84" t="str">
        <f t="shared" si="40"/>
        <v>Classroom &amp; Specialist Teachers-Stipends</v>
      </c>
      <c r="Q84" t="str">
        <f>IFERROR(VLOOKUP($P84,'Short Crosswalk'!$A$1:$G$29,4,0),"")</f>
        <v>Teachers</v>
      </c>
      <c r="R84" t="str">
        <f>IFERROR(VLOOKUP($P84,'Short Crosswalk'!$A$1:$G$29,7,0),"")</f>
        <v>01-Professional Salaries</v>
      </c>
      <c r="S84" t="str">
        <f t="shared" si="41"/>
        <v>Teachers 01-Professional Salaries</v>
      </c>
      <c r="T84">
        <f t="shared" si="42"/>
        <v>1</v>
      </c>
    </row>
    <row r="85" spans="1:20" ht="32.450000000000003" customHeight="1">
      <c r="A85" s="91"/>
      <c r="B85" s="92"/>
      <c r="C85" s="51" t="str">
        <f t="shared" si="49"/>
        <v>Teachers</v>
      </c>
      <c r="D85" s="51" t="str">
        <f t="shared" si="49"/>
        <v>06-Other Expenses</v>
      </c>
      <c r="E85" s="51" t="s">
        <v>89</v>
      </c>
      <c r="F85" s="51" t="s">
        <v>44</v>
      </c>
      <c r="G85" s="55" t="s">
        <v>120</v>
      </c>
      <c r="H85" s="54"/>
      <c r="I85" s="40">
        <v>0</v>
      </c>
      <c r="J85" s="54"/>
      <c r="K85" s="40">
        <f t="shared" si="50"/>
        <v>0</v>
      </c>
      <c r="L85" s="54"/>
      <c r="M85" s="40">
        <f t="shared" si="51"/>
        <v>0</v>
      </c>
      <c r="P85" t="str">
        <f t="shared" si="40"/>
        <v>Classroom &amp; Specialist Teachers-Other</v>
      </c>
      <c r="Q85" t="str">
        <f>IFERROR(VLOOKUP($P85,'Short Crosswalk'!$A$1:$G$29,4,0),"")</f>
        <v>Teachers</v>
      </c>
      <c r="R85" t="str">
        <f>IFERROR(VLOOKUP($P85,'Short Crosswalk'!$A$1:$G$29,7,0),"")</f>
        <v>06-Other Expenses</v>
      </c>
      <c r="S85" t="str">
        <f t="shared" si="41"/>
        <v>Teachers 06-Other Expenses</v>
      </c>
      <c r="T85">
        <f t="shared" si="42"/>
        <v>6</v>
      </c>
    </row>
    <row r="86" spans="1:20" ht="13.5" customHeight="1">
      <c r="A86" s="56"/>
      <c r="B86" s="57"/>
      <c r="C86" s="58"/>
      <c r="D86" s="58"/>
      <c r="E86" s="58"/>
      <c r="F86" s="58"/>
      <c r="G86" s="59" t="s">
        <v>38</v>
      </c>
      <c r="H86" s="60"/>
      <c r="I86" s="61">
        <f>SUM(I83:I85)</f>
        <v>284700</v>
      </c>
      <c r="J86" s="60"/>
      <c r="K86" s="61">
        <f>SUM(K83:K85)</f>
        <v>293241</v>
      </c>
      <c r="L86" s="60"/>
      <c r="M86" s="61">
        <f>SUM(M83:M85)</f>
        <v>302038.23</v>
      </c>
      <c r="N86" s="62">
        <f>SUM(I86+K86+M86)</f>
        <v>879979.23</v>
      </c>
      <c r="P86" t="str">
        <f t="shared" si="40"/>
        <v>-</v>
      </c>
      <c r="Q86" t="str">
        <f>IFERROR(VLOOKUP($P86,'Short Crosswalk'!$A$1:$G$29,4,0),"")</f>
        <v/>
      </c>
      <c r="R86" t="str">
        <f>IFERROR(VLOOKUP($P86,'Short Crosswalk'!$A$1:$G$29,7,0),"")</f>
        <v/>
      </c>
      <c r="S86" t="str">
        <f t="shared" si="41"/>
        <v xml:space="preserve"> </v>
      </c>
      <c r="T86" t="str">
        <f t="shared" si="42"/>
        <v/>
      </c>
    </row>
    <row r="87" spans="1:20" ht="36" customHeight="1">
      <c r="A87" s="93" t="s">
        <v>121</v>
      </c>
      <c r="B87" s="94" t="s">
        <v>122</v>
      </c>
      <c r="C87" s="51" t="str">
        <f t="shared" ref="C87:D90" si="52">Q87</f>
        <v>Administration</v>
      </c>
      <c r="D87" s="51" t="str">
        <f t="shared" si="52"/>
        <v>01-Professional Salaries</v>
      </c>
      <c r="E87" s="51" t="s">
        <v>93</v>
      </c>
      <c r="F87" s="51" t="s">
        <v>94</v>
      </c>
      <c r="G87" s="55" t="s">
        <v>123</v>
      </c>
      <c r="H87" s="41">
        <v>1</v>
      </c>
      <c r="I87" s="40">
        <v>217500</v>
      </c>
      <c r="J87" s="41">
        <f>H87</f>
        <v>1</v>
      </c>
      <c r="K87" s="40">
        <f t="shared" ref="K87:K89" si="53">I87*1.03</f>
        <v>224025</v>
      </c>
      <c r="L87" s="41">
        <f>J87</f>
        <v>1</v>
      </c>
      <c r="M87" s="40">
        <f t="shared" ref="M87:M89" si="54">K87*1.03</f>
        <v>230745.75</v>
      </c>
      <c r="P87" t="str">
        <f t="shared" si="40"/>
        <v>Administration-Salaries - Administrator</v>
      </c>
      <c r="Q87" t="str">
        <f>IFERROR(VLOOKUP($P87,'Short Crosswalk'!$A$1:$G$29,4,0),"")</f>
        <v>Administration</v>
      </c>
      <c r="R87" t="str">
        <f>IFERROR(VLOOKUP($P87,'Short Crosswalk'!$A$1:$G$29,7,0),"")</f>
        <v>01-Professional Salaries</v>
      </c>
      <c r="S87" t="str">
        <f t="shared" si="41"/>
        <v>Administration 01-Professional Salaries</v>
      </c>
      <c r="T87">
        <f t="shared" si="42"/>
        <v>1</v>
      </c>
    </row>
    <row r="88" spans="1:20" ht="33.950000000000003" customHeight="1">
      <c r="A88" s="93"/>
      <c r="B88" s="94"/>
      <c r="C88" s="51" t="str">
        <f t="shared" si="52"/>
        <v>Administration</v>
      </c>
      <c r="D88" s="51" t="str">
        <f t="shared" si="52"/>
        <v>04-Contracted Services</v>
      </c>
      <c r="E88" s="51" t="s">
        <v>27</v>
      </c>
      <c r="F88" s="51" t="s">
        <v>94</v>
      </c>
      <c r="G88" s="55" t="s">
        <v>124</v>
      </c>
      <c r="H88" s="54"/>
      <c r="I88" s="40">
        <v>0</v>
      </c>
      <c r="J88" s="54"/>
      <c r="K88" s="40">
        <f t="shared" si="53"/>
        <v>0</v>
      </c>
      <c r="L88" s="54"/>
      <c r="M88" s="40">
        <f t="shared" si="54"/>
        <v>0</v>
      </c>
      <c r="P88" t="str">
        <f t="shared" si="40"/>
        <v>Administration-Contractual Services</v>
      </c>
      <c r="Q88" t="str">
        <f>IFERROR(VLOOKUP($P88,'Short Crosswalk'!$A$1:$G$29,4,0),"")</f>
        <v>Administration</v>
      </c>
      <c r="R88" t="str">
        <f>IFERROR(VLOOKUP($P88,'Short Crosswalk'!$A$1:$G$29,7,0),"")</f>
        <v>04-Contracted Services</v>
      </c>
      <c r="S88" t="str">
        <f t="shared" si="41"/>
        <v>Administration 04-Contracted Services</v>
      </c>
      <c r="T88">
        <f t="shared" si="42"/>
        <v>4</v>
      </c>
    </row>
    <row r="89" spans="1:20" ht="24" customHeight="1">
      <c r="A89" s="93"/>
      <c r="B89" s="94"/>
      <c r="C89" s="51" t="str">
        <f t="shared" si="52"/>
        <v>Teachers</v>
      </c>
      <c r="D89" s="51" t="str">
        <f t="shared" si="52"/>
        <v>01-Professional Salaries</v>
      </c>
      <c r="E89" s="51" t="s">
        <v>53</v>
      </c>
      <c r="F89" s="51" t="s">
        <v>44</v>
      </c>
      <c r="G89" s="55" t="s">
        <v>125</v>
      </c>
      <c r="H89" s="54"/>
      <c r="I89" s="40"/>
      <c r="J89" s="54"/>
      <c r="K89" s="40">
        <f t="shared" si="53"/>
        <v>0</v>
      </c>
      <c r="L89" s="54"/>
      <c r="M89" s="40">
        <f t="shared" si="54"/>
        <v>0</v>
      </c>
      <c r="P89" t="str">
        <f t="shared" si="40"/>
        <v>Classroom &amp; Specialist Teachers-Stipends</v>
      </c>
      <c r="Q89" t="str">
        <f>IFERROR(VLOOKUP($P89,'Short Crosswalk'!$A$1:$G$29,4,0),"")</f>
        <v>Teachers</v>
      </c>
      <c r="R89" t="str">
        <f>IFERROR(VLOOKUP($P89,'Short Crosswalk'!$A$1:$G$29,7,0),"")</f>
        <v>01-Professional Salaries</v>
      </c>
      <c r="S89" t="str">
        <f t="shared" si="41"/>
        <v>Teachers 01-Professional Salaries</v>
      </c>
      <c r="T89">
        <f t="shared" si="42"/>
        <v>1</v>
      </c>
    </row>
    <row r="90" spans="1:20" ht="25.5" customHeight="1">
      <c r="A90" s="93"/>
      <c r="B90" s="94"/>
      <c r="C90" s="51" t="str">
        <f t="shared" si="52"/>
        <v xml:space="preserve">Benefits and Fixed Charges </v>
      </c>
      <c r="D90" s="51" t="str">
        <f t="shared" si="52"/>
        <v>04-Contracted Services</v>
      </c>
      <c r="E90" s="51" t="s">
        <v>27</v>
      </c>
      <c r="F90" s="51" t="s">
        <v>36</v>
      </c>
      <c r="G90" s="55" t="s">
        <v>37</v>
      </c>
      <c r="H90" s="54"/>
      <c r="I90" s="79">
        <v>15062</v>
      </c>
      <c r="J90" s="54"/>
      <c r="K90" s="79">
        <f>I90*1.05</f>
        <v>15815.1</v>
      </c>
      <c r="L90" s="54"/>
      <c r="M90" s="79">
        <f>K90*1.05</f>
        <v>16605.855</v>
      </c>
      <c r="P90" t="str">
        <f t="shared" si="40"/>
        <v>Benefits and Fixed Charges -Contractual Services</v>
      </c>
      <c r="Q90" t="str">
        <f>IFERROR(VLOOKUP($P90,'Short Crosswalk'!$A$1:$G$29,4,0),"")</f>
        <v xml:space="preserve">Benefits and Fixed Charges </v>
      </c>
      <c r="R90" t="str">
        <f>IFERROR(VLOOKUP($P90,'Short Crosswalk'!$A$1:$G$29,7,0),"")</f>
        <v>04-Contracted Services</v>
      </c>
      <c r="S90" t="str">
        <f t="shared" si="41"/>
        <v>Benefits and Fixed Charges  04-Contracted Services</v>
      </c>
      <c r="T90">
        <f t="shared" si="42"/>
        <v>4</v>
      </c>
    </row>
    <row r="91" spans="1:20">
      <c r="A91" s="65"/>
      <c r="B91" s="57"/>
      <c r="C91" s="57"/>
      <c r="D91" s="57"/>
      <c r="E91" s="58"/>
      <c r="F91" s="58"/>
      <c r="G91" s="59" t="s">
        <v>38</v>
      </c>
      <c r="H91" s="60">
        <f>H87</f>
        <v>1</v>
      </c>
      <c r="I91" s="61">
        <f>SUM(I87:I90)</f>
        <v>232562</v>
      </c>
      <c r="J91" s="60">
        <f>J87</f>
        <v>1</v>
      </c>
      <c r="K91" s="61">
        <f>SUM(K87:K90)</f>
        <v>239840.1</v>
      </c>
      <c r="L91" s="60">
        <f>L87</f>
        <v>1</v>
      </c>
      <c r="M91" s="61">
        <f>SUM(M87:M90)</f>
        <v>247351.60500000001</v>
      </c>
      <c r="N91" s="62">
        <f>SUM(I91+K91+M91)</f>
        <v>719753.70499999996</v>
      </c>
      <c r="P91" t="str">
        <f t="shared" si="40"/>
        <v>-</v>
      </c>
      <c r="Q91" t="str">
        <f>IFERROR(VLOOKUP($P91,'Short Crosswalk'!$A$1:$G$29,4,0),"")</f>
        <v/>
      </c>
      <c r="R91" t="str">
        <f>IFERROR(VLOOKUP($P91,'Short Crosswalk'!$A$1:$G$29,7,0),"")</f>
        <v/>
      </c>
      <c r="S91" t="str">
        <f t="shared" si="41"/>
        <v xml:space="preserve"> </v>
      </c>
      <c r="T91" t="str">
        <f t="shared" si="42"/>
        <v/>
      </c>
    </row>
    <row r="92" spans="1:20">
      <c r="A92" s="66"/>
      <c r="B92" s="85"/>
      <c r="C92" s="85"/>
      <c r="D92" s="85"/>
      <c r="E92" s="67"/>
      <c r="F92" s="67"/>
      <c r="G92" s="68"/>
      <c r="H92" s="69"/>
      <c r="I92" s="70"/>
      <c r="J92" s="69"/>
      <c r="K92" s="70"/>
      <c r="L92" s="69"/>
      <c r="M92" s="70"/>
      <c r="N92" s="71"/>
      <c r="P92" t="str">
        <f t="shared" si="40"/>
        <v>-</v>
      </c>
      <c r="Q92" t="str">
        <f>IFERROR(VLOOKUP($P92,'Short Crosswalk'!$A$1:$G$29,4,0),"")</f>
        <v/>
      </c>
      <c r="R92" t="str">
        <f>IFERROR(VLOOKUP($P92,'Short Crosswalk'!$A$1:$G$29,7,0),"")</f>
        <v/>
      </c>
      <c r="S92" t="str">
        <f t="shared" si="41"/>
        <v xml:space="preserve"> </v>
      </c>
      <c r="T92" t="str">
        <f t="shared" si="42"/>
        <v/>
      </c>
    </row>
    <row r="93" spans="1:20" ht="15">
      <c r="A93" s="72"/>
      <c r="B93" s="73"/>
      <c r="C93" s="73"/>
      <c r="D93" s="73"/>
      <c r="E93" s="74"/>
      <c r="F93" s="75"/>
      <c r="G93" s="75" t="s">
        <v>126</v>
      </c>
      <c r="H93" s="76">
        <f t="shared" ref="H93:M93" si="55">H86+H82+H77+H73+H68+H65+H58+H52+H46+H41+H38+H35+H28+H22+H17+H11+H91</f>
        <v>1816</v>
      </c>
      <c r="I93" s="77">
        <f t="shared" si="55"/>
        <v>187714829</v>
      </c>
      <c r="J93" s="76">
        <f t="shared" si="55"/>
        <v>1713</v>
      </c>
      <c r="K93" s="77">
        <f t="shared" si="55"/>
        <v>193893325.70999998</v>
      </c>
      <c r="L93" s="76">
        <f t="shared" si="55"/>
        <v>1713</v>
      </c>
      <c r="M93" s="77">
        <f t="shared" si="55"/>
        <v>200284529.91329995</v>
      </c>
      <c r="N93" s="78">
        <f>SUM(I93+K93+M93)</f>
        <v>581892684.62329996</v>
      </c>
      <c r="O93" s="17"/>
      <c r="P93" t="str">
        <f t="shared" si="40"/>
        <v>-</v>
      </c>
      <c r="Q93" t="str">
        <f>IFERROR(VLOOKUP($P93,'Short Crosswalk'!$A$1:$G$29,4,0),"")</f>
        <v/>
      </c>
      <c r="R93" t="str">
        <f>IFERROR(VLOOKUP($P93,'Short Crosswalk'!$A$1:$G$29,7,0),"")</f>
        <v/>
      </c>
      <c r="S93" t="str">
        <f t="shared" si="41"/>
        <v xml:space="preserve"> </v>
      </c>
      <c r="T93" t="str">
        <f t="shared" si="42"/>
        <v/>
      </c>
    </row>
    <row r="94" spans="1:20">
      <c r="A94" s="18"/>
      <c r="B94" s="19"/>
      <c r="C94" s="20"/>
      <c r="D94" s="20"/>
      <c r="E94" s="18"/>
      <c r="F94" s="18"/>
      <c r="G94" s="18"/>
      <c r="H94" s="21"/>
      <c r="I94" s="22"/>
      <c r="J94" s="21"/>
      <c r="K94" s="22"/>
      <c r="L94" s="21"/>
      <c r="M94" s="22"/>
    </row>
  </sheetData>
  <sheetProtection selectLockedCells="1"/>
  <mergeCells count="38">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A78:A81"/>
    <mergeCell ref="B78:B81"/>
    <mergeCell ref="A83:A85"/>
    <mergeCell ref="B83:B85"/>
    <mergeCell ref="A87:A90"/>
    <mergeCell ref="B87:B90"/>
  </mergeCells>
  <printOptions horizontalCentered="1"/>
  <pageMargins left="0" right="0" top="0.75" bottom="0.75" header="0.511811023622047" footer="0.511811023622047"/>
  <pageSetup scale="55"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topLeftCell="A17" zoomScaleNormal="100" workbookViewId="0">
      <selection activeCell="D23" sqref="D23:H23"/>
    </sheetView>
  </sheetViews>
  <sheetFormatPr defaultColWidth="11.5703125" defaultRowHeight="12.75"/>
  <cols>
    <col min="1" max="1" width="43.5703125" customWidth="1"/>
    <col min="2" max="2" width="22.5703125" customWidth="1"/>
    <col min="7" max="7" width="15.85546875" customWidth="1"/>
    <col min="8" max="8" width="15.5703125" customWidth="1"/>
  </cols>
  <sheetData>
    <row r="1" spans="1:8" ht="15.75">
      <c r="A1" s="112" t="s">
        <v>127</v>
      </c>
      <c r="B1" s="112"/>
      <c r="C1" s="112"/>
      <c r="D1" s="112"/>
      <c r="E1" s="112"/>
      <c r="F1" s="112"/>
      <c r="G1" s="112"/>
      <c r="H1" s="112"/>
    </row>
    <row r="2" spans="1:8" ht="13.5" customHeight="1">
      <c r="A2" s="23"/>
      <c r="B2" s="24"/>
      <c r="C2" s="109" t="s">
        <v>11</v>
      </c>
      <c r="D2" s="109"/>
      <c r="E2" s="110" t="s">
        <v>12</v>
      </c>
      <c r="F2" s="110"/>
      <c r="G2" s="111" t="s">
        <v>13</v>
      </c>
      <c r="H2" s="111"/>
    </row>
    <row r="3" spans="1:8">
      <c r="A3" s="25" t="s">
        <v>128</v>
      </c>
      <c r="B3" s="26" t="s">
        <v>129</v>
      </c>
      <c r="C3" s="26" t="s">
        <v>19</v>
      </c>
      <c r="D3" s="26" t="s">
        <v>130</v>
      </c>
      <c r="E3" s="26" t="s">
        <v>19</v>
      </c>
      <c r="F3" s="26" t="s">
        <v>130</v>
      </c>
      <c r="G3" s="26" t="s">
        <v>19</v>
      </c>
      <c r="H3" s="27" t="s">
        <v>130</v>
      </c>
    </row>
    <row r="4" spans="1:8">
      <c r="A4" s="28" t="s">
        <v>94</v>
      </c>
      <c r="B4" t="s">
        <v>27</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c r="A5" s="28" t="s">
        <v>94</v>
      </c>
      <c r="B5" t="s">
        <v>93</v>
      </c>
      <c r="C5" s="29">
        <f>SUMIFS(Budget!$H$5:$H$90,Budget!$F$5:$F$90,$A5,Budget!$E$5:$E$90,$B5)</f>
        <v>4</v>
      </c>
      <c r="D5" s="4">
        <f>SUMIFS(Budget!$I$5:$I$90,Budget!$F$5:$F$90,$A5,Budget!$E$5:$E$90,$B5)</f>
        <v>676537</v>
      </c>
      <c r="E5" s="29">
        <f>SUMIFS(Budget!$J$5:$J$90,Budget!$F$5:$F$90,$A5,Budget!$E$5:$E$90,$B5)</f>
        <v>4</v>
      </c>
      <c r="F5" s="4">
        <f>SUMIFS(Budget!$K$5:$K$90,Budget!$F$5:$F$90,$A5,Budget!$E$5:$E$90,$B5)</f>
        <v>696833.11</v>
      </c>
      <c r="G5" s="29">
        <f>SUMIFS(Budget!$L$5:$L$90,Budget!$F$5:$F$90,$A5,Budget!$E$5:$E$90,$B5)</f>
        <v>4</v>
      </c>
      <c r="H5" s="30">
        <f>SUMIFS(Budget!$M$5:$M$90,Budget!$F$5:$F$90,$A5,Budget!$E$5:$E$90,$B5)</f>
        <v>717738.10330000008</v>
      </c>
    </row>
    <row r="6" spans="1:8">
      <c r="A6" s="28" t="s">
        <v>44</v>
      </c>
      <c r="B6" t="s">
        <v>89</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c r="A7" s="28" t="s">
        <v>44</v>
      </c>
      <c r="B7" t="s">
        <v>41</v>
      </c>
      <c r="C7" s="29">
        <f>SUMIFS(Budget!$H$5:$H$90,Budget!$F$5:$F$90,$A7,Budget!$E$5:$E$90,$B7)</f>
        <v>1415</v>
      </c>
      <c r="D7" s="4">
        <f>SUMIFS(Budget!$I$5:$I$90,Budget!$F$5:$F$90,$A7,Budget!$E$5:$E$90,$B7)</f>
        <v>121399823</v>
      </c>
      <c r="E7" s="29">
        <f>SUMIFS(Budget!$J$5:$J$90,Budget!$F$5:$F$90,$A7,Budget!$E$5:$E$90,$B7)</f>
        <v>1312</v>
      </c>
      <c r="F7" s="4">
        <f>SUMIFS(Budget!$K$5:$K$90,Budget!$F$5:$F$90,$A7,Budget!$E$5:$E$90,$B7)</f>
        <v>125041817.68999998</v>
      </c>
      <c r="G7" s="29">
        <f>SUMIFS(Budget!$L$5:$L$90,Budget!$F$5:$F$90,$A7,Budget!$E$5:$E$90,$B7)</f>
        <v>1312</v>
      </c>
      <c r="H7" s="30">
        <f>SUMIFS(Budget!$M$5:$M$90,Budget!$F$5:$F$90,$A7,Budget!$E$5:$E$90,$B7)</f>
        <v>128793072.2207</v>
      </c>
    </row>
    <row r="8" spans="1:8">
      <c r="A8" s="28" t="s">
        <v>44</v>
      </c>
      <c r="B8" t="s">
        <v>53</v>
      </c>
      <c r="C8" s="29">
        <f>SUMIFS(Budget!$H$5:$H$90,Budget!$F$5:$F$90,$A8,Budget!$E$5:$E$90,$B8)</f>
        <v>0</v>
      </c>
      <c r="D8" s="4">
        <f>SUMIFS(Budget!$I$5:$I$90,Budget!$F$5:$F$90,$A8,Budget!$E$5:$E$90,$B8)</f>
        <v>284700</v>
      </c>
      <c r="E8" s="29">
        <f>SUMIFS(Budget!$J$5:$J$90,Budget!$F$5:$F$90,$A8,Budget!$E$5:$E$90,$B8)</f>
        <v>0</v>
      </c>
      <c r="F8" s="4">
        <f>SUMIFS(Budget!$K$5:$K$90,Budget!$F$5:$F$90,$A8,Budget!$E$5:$E$90,$B8)</f>
        <v>293241</v>
      </c>
      <c r="G8" s="29">
        <f>SUMIFS(Budget!$L$5:$L$90,Budget!$F$5:$F$90,$A8,Budget!$E$5:$E$90,$B8)</f>
        <v>0</v>
      </c>
      <c r="H8" s="30">
        <f>SUMIFS(Budget!$M$5:$M$90,Budget!$F$5:$F$90,$A8,Budget!$E$5:$E$90,$B8)</f>
        <v>302038.23</v>
      </c>
    </row>
    <row r="9" spans="1:8">
      <c r="A9" s="28" t="s">
        <v>36</v>
      </c>
      <c r="B9" t="s">
        <v>27</v>
      </c>
      <c r="C9" s="29">
        <f>SUMIFS(Budget!$H$5:$H$90,Budget!$F$5:$F$90,$A9,Budget!$E$5:$E$90,$B9)</f>
        <v>0</v>
      </c>
      <c r="D9" s="4">
        <f>SUMIFS(Budget!$I$5:$I$90,Budget!$F$5:$F$90,$A9,Budget!$E$5:$E$90,$B9)</f>
        <v>27352592</v>
      </c>
      <c r="E9" s="29">
        <f>SUMIFS(Budget!$J$5:$J$90,Budget!$F$5:$F$90,$A9,Budget!$E$5:$E$90,$B9)</f>
        <v>0</v>
      </c>
      <c r="F9" s="4">
        <f>SUMIFS(Budget!$K$5:$K$90,Budget!$F$5:$F$90,$A9,Budget!$E$5:$E$90,$B9)</f>
        <v>28720221.599999998</v>
      </c>
      <c r="G9" s="29">
        <f>SUMIFS(Budget!$L$5:$L$90,Budget!$F$5:$F$90,$A9,Budget!$E$5:$E$90,$B9)</f>
        <v>0</v>
      </c>
      <c r="H9" s="30">
        <f>SUMIFS(Budget!$M$5:$M$90,Budget!$F$5:$F$90,$A9,Budget!$E$5:$E$90,$B9)</f>
        <v>30156232.680000007</v>
      </c>
    </row>
    <row r="10" spans="1:8">
      <c r="A10" s="28" t="s">
        <v>25</v>
      </c>
      <c r="B10" t="s">
        <v>27</v>
      </c>
      <c r="C10" s="29">
        <f>SUMIFS(Budget!$H$5:$H$90,Budget!$F$5:$F$90,$A10,Budget!$E$5:$E$90,$B10)</f>
        <v>0</v>
      </c>
      <c r="D10" s="4">
        <f>SUMIFS(Budget!$I$5:$I$90,Budget!$F$5:$F$90,$A10,Budget!$E$5:$E$90,$B10)</f>
        <v>0</v>
      </c>
      <c r="E10" s="29">
        <f>SUMIFS(Budget!$J$5:$J$90,Budget!$F$5:$F$90,$A10,Budget!$E$5:$E$90,$B10)</f>
        <v>0</v>
      </c>
      <c r="F10" s="4">
        <f>SUMIFS(Budget!$K$5:$K$90,Budget!$F$5:$F$90,$A10,Budget!$E$5:$E$90,$B10)</f>
        <v>0</v>
      </c>
      <c r="G10" s="29">
        <f>SUMIFS(Budget!$L$5:$L$90,Budget!$F$5:$F$90,$A10,Budget!$E$5:$E$90,$B10)</f>
        <v>0</v>
      </c>
      <c r="H10" s="30">
        <f>SUMIFS(Budget!$M$5:$M$90,Budget!$F$5:$F$90,$A10,Budget!$E$5:$E$90,$B10)</f>
        <v>0</v>
      </c>
    </row>
    <row r="11" spans="1:8">
      <c r="A11" s="28" t="s">
        <v>25</v>
      </c>
      <c r="B11" t="s">
        <v>24</v>
      </c>
      <c r="C11" s="29">
        <f>SUMIFS(Budget!$H$5:$H$90,Budget!$F$5:$F$90,$A11,Budget!$E$5:$E$90,$B11)</f>
        <v>185</v>
      </c>
      <c r="D11" s="4">
        <f>SUMIFS(Budget!$I$5:$I$90,Budget!$F$5:$F$90,$A11,Budget!$E$5:$E$90,$B11)</f>
        <v>17142048</v>
      </c>
      <c r="E11" s="29">
        <f>SUMIFS(Budget!$J$5:$J$90,Budget!$F$5:$F$90,$A11,Budget!$E$5:$E$90,$B11)</f>
        <v>185</v>
      </c>
      <c r="F11" s="4">
        <f>SUMIFS(Budget!$K$5:$K$90,Budget!$F$5:$F$90,$A11,Budget!$E$5:$E$90,$B11)</f>
        <v>17656309.440000001</v>
      </c>
      <c r="G11" s="29">
        <f>SUMIFS(Budget!$L$5:$L$90,Budget!$F$5:$F$90,$A11,Budget!$E$5:$E$90,$B11)</f>
        <v>185</v>
      </c>
      <c r="H11" s="30">
        <f>SUMIFS(Budget!$M$5:$M$90,Budget!$F$5:$F$90,$A11,Budget!$E$5:$E$90,$B11)</f>
        <v>18185998.723200001</v>
      </c>
    </row>
    <row r="12" spans="1:8">
      <c r="A12" s="28" t="s">
        <v>42</v>
      </c>
      <c r="B12" t="s">
        <v>41</v>
      </c>
      <c r="C12" s="29">
        <f>SUMIFS(Budget!$H$5:$H$90,Budget!$F$5:$F$90,$A12,Budget!$E$5:$E$90,$B12)</f>
        <v>96</v>
      </c>
      <c r="D12" s="4">
        <f>SUMIFS(Budget!$I$5:$I$90,Budget!$F$5:$F$90,$A12,Budget!$E$5:$E$90,$B12)</f>
        <v>10264820</v>
      </c>
      <c r="E12" s="29">
        <f>SUMIFS(Budget!$J$5:$J$90,Budget!$F$5:$F$90,$A12,Budget!$E$5:$E$90,$B12)</f>
        <v>96</v>
      </c>
      <c r="F12" s="4">
        <f>SUMIFS(Budget!$K$5:$K$90,Budget!$F$5:$F$90,$A12,Budget!$E$5:$E$90,$B12)</f>
        <v>10572764.6</v>
      </c>
      <c r="G12" s="29">
        <f>SUMIFS(Budget!$L$5:$L$90,Budget!$F$5:$F$90,$A12,Budget!$E$5:$E$90,$B12)</f>
        <v>96</v>
      </c>
      <c r="H12" s="30">
        <f>SUMIFS(Budget!$M$5:$M$90,Budget!$F$5:$F$90,$A12,Budget!$E$5:$E$90,$B12)</f>
        <v>10889947.537999999</v>
      </c>
    </row>
    <row r="13" spans="1:8">
      <c r="A13" s="28" t="s">
        <v>42</v>
      </c>
      <c r="B13" t="s">
        <v>53</v>
      </c>
      <c r="C13" s="29">
        <f>SUMIFS(Budget!$H$5:$H$90,Budget!$F$5:$F$90,$A13,Budget!$E$5:$E$90,$B13)</f>
        <v>0</v>
      </c>
      <c r="D13" s="4">
        <f>SUMIFS(Budget!$I$5:$I$90,Budget!$F$5:$F$90,$A13,Budget!$E$5:$E$90,$B13)</f>
        <v>500000</v>
      </c>
      <c r="E13" s="29">
        <f>SUMIFS(Budget!$J$5:$J$90,Budget!$F$5:$F$90,$A13,Budget!$E$5:$E$90,$B13)</f>
        <v>0</v>
      </c>
      <c r="F13" s="4">
        <f>SUMIFS(Budget!$K$5:$K$90,Budget!$F$5:$F$90,$A13,Budget!$E$5:$E$90,$B13)</f>
        <v>515000</v>
      </c>
      <c r="G13" s="29">
        <f>SUMIFS(Budget!$L$5:$L$90,Budget!$F$5:$F$90,$A13,Budget!$E$5:$E$90,$B13)</f>
        <v>0</v>
      </c>
      <c r="H13" s="30">
        <f>SUMIFS(Budget!$M$5:$M$90,Budget!$F$5:$F$90,$A13,Budget!$E$5:$E$90,$B13)</f>
        <v>530450</v>
      </c>
    </row>
    <row r="14" spans="1:8">
      <c r="A14" s="28" t="s">
        <v>30</v>
      </c>
      <c r="B14" t="s">
        <v>27</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c r="A15" s="28" t="s">
        <v>30</v>
      </c>
      <c r="B15" t="s">
        <v>29</v>
      </c>
      <c r="C15" s="29">
        <f>SUMIFS(Budget!$H$5:$H$90,Budget!$F$5:$F$90,$A15,Budget!$E$5:$E$90,$B15)</f>
        <v>0</v>
      </c>
      <c r="D15" s="4">
        <f>SUMIFS(Budget!$I$5:$I$90,Budget!$F$5:$F$90,$A15,Budget!$E$5:$E$90,$B15)</f>
        <v>1528370</v>
      </c>
      <c r="E15" s="29">
        <f>SUMIFS(Budget!$J$5:$J$90,Budget!$F$5:$F$90,$A15,Budget!$E$5:$E$90,$B15)</f>
        <v>0</v>
      </c>
      <c r="F15" s="4">
        <f>SUMIFS(Budget!$K$5:$K$90,Budget!$F$5:$F$90,$A15,Budget!$E$5:$E$90,$B15)</f>
        <v>1574221.1</v>
      </c>
      <c r="G15" s="29">
        <f>SUMIFS(Budget!$L$5:$L$90,Budget!$F$5:$F$90,$A15,Budget!$E$5:$E$90,$B15)</f>
        <v>0</v>
      </c>
      <c r="H15" s="30">
        <f>SUMIFS(Budget!$M$5:$M$90,Budget!$F$5:$F$90,$A15,Budget!$E$5:$E$90,$B15)</f>
        <v>1621447.7330000002</v>
      </c>
    </row>
    <row r="16" spans="1:8">
      <c r="A16" s="28" t="s">
        <v>34</v>
      </c>
      <c r="B16" t="s">
        <v>89</v>
      </c>
      <c r="C16" s="29">
        <f>SUMIFS(Budget!$H$5:$H$90,Budget!$F$5:$F$90,$A16,Budget!$E$5:$E$90,$B16)</f>
        <v>0</v>
      </c>
      <c r="D16" s="4">
        <f>SUMIFS(Budget!$I$5:$I$90,Budget!$F$5:$F$90,$A16,Budget!$E$5:$E$90,$B16)</f>
        <v>304200</v>
      </c>
      <c r="E16" s="29">
        <f>SUMIFS(Budget!$J$5:$J$90,Budget!$F$5:$F$90,$A16,Budget!$E$5:$E$90,$B16)</f>
        <v>0</v>
      </c>
      <c r="F16" s="4">
        <f>SUMIFS(Budget!$K$5:$K$90,Budget!$F$5:$F$90,$A16,Budget!$E$5:$E$90,$B16)</f>
        <v>313326</v>
      </c>
      <c r="G16" s="29">
        <f>SUMIFS(Budget!$L$5:$L$90,Budget!$F$5:$F$90,$A16,Budget!$E$5:$E$90,$B16)</f>
        <v>0</v>
      </c>
      <c r="H16" s="30">
        <f>SUMIFS(Budget!$M$5:$M$90,Budget!$F$5:$F$90,$A16,Budget!$E$5:$E$90,$B16)</f>
        <v>322725.78000000003</v>
      </c>
    </row>
    <row r="17" spans="1:8">
      <c r="A17" s="28" t="s">
        <v>34</v>
      </c>
      <c r="B17" t="s">
        <v>29</v>
      </c>
      <c r="C17" s="29">
        <f>SUMIFS(Budget!$H$5:$H$90,Budget!$F$5:$F$90,$A17,Budget!$E$5:$E$90,$B17)</f>
        <v>0</v>
      </c>
      <c r="D17" s="4">
        <f>SUMIFS(Budget!$I$5:$I$90,Budget!$F$5:$F$90,$A17,Budget!$E$5:$E$90,$B17)</f>
        <v>1425000</v>
      </c>
      <c r="E17" s="29">
        <f>SUMIFS(Budget!$J$5:$J$90,Budget!$F$5:$F$90,$A17,Budget!$E$5:$E$90,$B17)</f>
        <v>0</v>
      </c>
      <c r="F17" s="4">
        <f>SUMIFS(Budget!$K$5:$K$90,Budget!$F$5:$F$90,$A17,Budget!$E$5:$E$90,$B17)</f>
        <v>1467750</v>
      </c>
      <c r="G17" s="29">
        <f>SUMIFS(Budget!$L$5:$L$90,Budget!$F$5:$F$90,$A17,Budget!$E$5:$E$90,$B17)</f>
        <v>0</v>
      </c>
      <c r="H17" s="30">
        <f>SUMIFS(Budget!$M$5:$M$90,Budget!$F$5:$F$90,$A17,Budget!$E$5:$E$90,$B17)</f>
        <v>1511782.5</v>
      </c>
    </row>
    <row r="18" spans="1:8">
      <c r="A18" s="28" t="s">
        <v>79</v>
      </c>
      <c r="B18" t="s">
        <v>27</v>
      </c>
      <c r="C18" s="29">
        <f>SUMIFS(Budget!$H$5:$H$90,Budget!$F$5:$F$90,$A18,Budget!$E$5:$E$90,$B18)</f>
        <v>0</v>
      </c>
      <c r="D18" s="4">
        <f>SUMIFS(Budget!$I$5:$I$90,Budget!$F$5:$F$90,$A18,Budget!$E$5:$E$90,$B18)</f>
        <v>0</v>
      </c>
      <c r="E18" s="29">
        <f>SUMIFS(Budget!$J$5:$J$90,Budget!$F$5:$F$90,$A18,Budget!$E$5:$E$90,$B18)</f>
        <v>0</v>
      </c>
      <c r="F18" s="4">
        <f>SUMIFS(Budget!$K$5:$K$90,Budget!$F$5:$F$90,$A18,Budget!$E$5:$E$90,$B18)</f>
        <v>0</v>
      </c>
      <c r="G18" s="29">
        <f>SUMIFS(Budget!$L$5:$L$90,Budget!$F$5:$F$90,$A18,Budget!$E$5:$E$90,$B18)</f>
        <v>0</v>
      </c>
      <c r="H18" s="30">
        <f>SUMIFS(Budget!$M$5:$M$90,Budget!$F$5:$F$90,$A18,Budget!$E$5:$E$90,$B18)</f>
        <v>0</v>
      </c>
    </row>
    <row r="19" spans="1:8">
      <c r="A19" s="28" t="s">
        <v>79</v>
      </c>
      <c r="B19" t="s">
        <v>97</v>
      </c>
      <c r="C19" s="29">
        <f>SUMIFS(Budget!$H$5:$H$90,Budget!$F$5:$F$90,$A19,Budget!$E$5:$E$90,$B19)</f>
        <v>28</v>
      </c>
      <c r="D19" s="4">
        <f>SUMIFS(Budget!$I$5:$I$90,Budget!$F$5:$F$90,$A19,Budget!$E$5:$E$90,$B19)</f>
        <v>1069516</v>
      </c>
      <c r="E19" s="29">
        <f>SUMIFS(Budget!$J$5:$J$90,Budget!$F$5:$F$90,$A19,Budget!$E$5:$E$90,$B19)</f>
        <v>28</v>
      </c>
      <c r="F19" s="4">
        <f>SUMIFS(Budget!$K$5:$K$90,Budget!$F$5:$F$90,$A19,Budget!$E$5:$E$90,$B19)</f>
        <v>1101601.48</v>
      </c>
      <c r="G19" s="29">
        <f>SUMIFS(Budget!$L$5:$L$90,Budget!$F$5:$F$90,$A19,Budget!$E$5:$E$90,$B19)</f>
        <v>28</v>
      </c>
      <c r="H19" s="30">
        <f>SUMIFS(Budget!$M$5:$M$90,Budget!$F$5:$F$90,$A19,Budget!$E$5:$E$90,$B19)</f>
        <v>1134649.5244</v>
      </c>
    </row>
    <row r="20" spans="1:8">
      <c r="A20" s="28" t="s">
        <v>79</v>
      </c>
      <c r="B20" t="s">
        <v>24</v>
      </c>
      <c r="C20" s="29">
        <f>SUMIFS(Budget!$H$5:$H$90,Budget!$F$5:$F$90,$A20,Budget!$E$5:$E$90,$B20)</f>
        <v>29</v>
      </c>
      <c r="D20" s="4">
        <f>SUMIFS(Budget!$I$5:$I$90,Budget!$F$5:$F$90,$A20,Budget!$E$5:$E$90,$B20)</f>
        <v>1712808</v>
      </c>
      <c r="E20" s="29">
        <f>SUMIFS(Budget!$J$5:$J$90,Budget!$F$5:$F$90,$A20,Budget!$E$5:$E$90,$B20)</f>
        <v>29</v>
      </c>
      <c r="F20" s="4">
        <f>SUMIFS(Budget!$K$5:$K$90,Budget!$F$5:$F$90,$A20,Budget!$E$5:$E$90,$B20)</f>
        <v>1764192.24</v>
      </c>
      <c r="G20" s="29">
        <f>SUMIFS(Budget!$L$5:$L$90,Budget!$F$5:$F$90,$A20,Budget!$E$5:$E$90,$B20)</f>
        <v>29</v>
      </c>
      <c r="H20" s="30">
        <f>SUMIFS(Budget!$M$5:$M$90,Budget!$F$5:$F$90,$A20,Budget!$E$5:$E$90,$B20)</f>
        <v>1817118.0072000001</v>
      </c>
    </row>
    <row r="21" spans="1:8">
      <c r="A21" s="28" t="s">
        <v>32</v>
      </c>
      <c r="B21" t="s">
        <v>27</v>
      </c>
      <c r="C21" s="29">
        <f>SUMIFS(Budget!$H$5:$H$90,Budget!$F$5:$F$90,$A21,Budget!$E$5:$E$90,$B21)</f>
        <v>0</v>
      </c>
      <c r="D21" s="4">
        <f>SUMIFS(Budget!$I$5:$I$90,Budget!$F$5:$F$90,$A21,Budget!$E$5:$E$90,$B21)</f>
        <v>0</v>
      </c>
      <c r="E21" s="29">
        <f>SUMIFS(Budget!$J$5:$J$90,Budget!$F$5:$F$90,$A21,Budget!$E$5:$E$90,$B21)</f>
        <v>0</v>
      </c>
      <c r="F21" s="4">
        <f>SUMIFS(Budget!$K$5:$K$90,Budget!$F$5:$F$90,$A21,Budget!$E$5:$E$90,$B21)</f>
        <v>0</v>
      </c>
      <c r="G21" s="29">
        <f>SUMIFS(Budget!$L$5:$L$90,Budget!$F$5:$F$90,$A21,Budget!$E$5:$E$90,$B21)</f>
        <v>0</v>
      </c>
      <c r="H21" s="30">
        <f>SUMIFS(Budget!$M$5:$M$90,Budget!$F$5:$F$90,$A21,Budget!$E$5:$E$90,$B21)</f>
        <v>0</v>
      </c>
    </row>
    <row r="22" spans="1:8">
      <c r="A22" s="28" t="s">
        <v>50</v>
      </c>
      <c r="B22" t="s">
        <v>24</v>
      </c>
      <c r="C22" s="29">
        <f>SUMIFS(Budget!$H$5:$H$90,Budget!$F$5:$F$90,$A22,Budget!$E$5:$E$90,$B22)</f>
        <v>59</v>
      </c>
      <c r="D22" s="4">
        <f>SUMIFS(Budget!$I$5:$I$90,Budget!$F$5:$F$90,$A22,Budget!$E$5:$E$90,$B22)</f>
        <v>4054415</v>
      </c>
      <c r="E22" s="29">
        <f>SUMIFS(Budget!$J$5:$J$90,Budget!$F$5:$F$90,$A22,Budget!$E$5:$E$90,$B22)</f>
        <v>59</v>
      </c>
      <c r="F22" s="4">
        <f>SUMIFS(Budget!$K$5:$K$90,Budget!$F$5:$F$90,$A22,Budget!$E$5:$E$90,$B22)</f>
        <v>4176047.45</v>
      </c>
      <c r="G22" s="29">
        <f>SUMIFS(Budget!$L$5:$L$90,Budget!$F$5:$F$90,$A22,Budget!$E$5:$E$90,$B22)</f>
        <v>59</v>
      </c>
      <c r="H22" s="30">
        <f>SUMIFS(Budget!$M$5:$M$90,Budget!$F$5:$F$90,$A22,Budget!$E$5:$E$90,$B22)</f>
        <v>4301328.8735000007</v>
      </c>
    </row>
    <row r="23" spans="1:8">
      <c r="A23" s="31" t="s">
        <v>131</v>
      </c>
      <c r="B23" s="32"/>
      <c r="C23" s="33">
        <f t="shared" ref="C23:H23" si="0">SUM(C4:C22)</f>
        <v>1816</v>
      </c>
      <c r="D23" s="34">
        <f t="shared" si="0"/>
        <v>187714829</v>
      </c>
      <c r="E23" s="33">
        <f t="shared" si="0"/>
        <v>1713</v>
      </c>
      <c r="F23" s="34">
        <f t="shared" si="0"/>
        <v>193893325.70999995</v>
      </c>
      <c r="G23" s="33">
        <f t="shared" si="0"/>
        <v>1713</v>
      </c>
      <c r="H23" s="35">
        <f t="shared" si="0"/>
        <v>200284529.91330001</v>
      </c>
    </row>
    <row r="26" spans="1:8" ht="15.75">
      <c r="A26" s="112" t="s">
        <v>132</v>
      </c>
      <c r="B26" s="112"/>
      <c r="C26" s="112"/>
      <c r="D26" s="112"/>
      <c r="E26" s="112"/>
      <c r="F26" s="112"/>
      <c r="G26" s="112"/>
      <c r="H26" s="112"/>
    </row>
    <row r="27" spans="1:8" ht="13.5" customHeight="1">
      <c r="A27" s="23"/>
      <c r="B27" s="24"/>
      <c r="C27" s="109" t="s">
        <v>11</v>
      </c>
      <c r="D27" s="109"/>
      <c r="E27" s="110" t="s">
        <v>12</v>
      </c>
      <c r="F27" s="110"/>
      <c r="G27" s="111" t="s">
        <v>13</v>
      </c>
      <c r="H27" s="111"/>
    </row>
    <row r="28" spans="1:8">
      <c r="A28" s="25" t="s">
        <v>16</v>
      </c>
      <c r="B28" s="26" t="s">
        <v>7</v>
      </c>
      <c r="C28" s="26" t="s">
        <v>19</v>
      </c>
      <c r="D28" s="26" t="s">
        <v>130</v>
      </c>
      <c r="E28" s="26" t="s">
        <v>19</v>
      </c>
      <c r="F28" s="26" t="s">
        <v>130</v>
      </c>
      <c r="G28" s="26" t="s">
        <v>19</v>
      </c>
      <c r="H28" s="27" t="s">
        <v>130</v>
      </c>
    </row>
    <row r="29" spans="1:8">
      <c r="A29" s="28" t="s">
        <v>94</v>
      </c>
      <c r="B29" t="s">
        <v>133</v>
      </c>
      <c r="C29" s="29">
        <f>SUMIFS(Budget!$H$5:$H$90,Budget!$Q$5:$Q$90,$A29,Budget!$R$5:$R$90,$B29)</f>
        <v>4</v>
      </c>
      <c r="D29" s="4">
        <f>SUMIFS(Budget!$I$5:$I$90,Budget!$Q$5:$Q$90,$A29,Budget!$R$5:$R$90,$B29)</f>
        <v>676537</v>
      </c>
      <c r="E29" s="29">
        <f>SUMIFS(Budget!$J$5:$J$90,Budget!$Q$5:$Q$90,$A29,Budget!$R$5:$R$90,$B29)</f>
        <v>4</v>
      </c>
      <c r="F29" s="4">
        <f>SUMIFS(Budget!$K$5:$K$90,Budget!$Q$5:$Q$90,$A29,Budget!$R$5:$R$90,$B29)</f>
        <v>696833.11</v>
      </c>
      <c r="G29" s="29">
        <f>SUMIFS(Budget!$L$5:$L$90,Budget!$Q$5:$Q$90,$A29,Budget!$R$5:$R$90,$B29)</f>
        <v>4</v>
      </c>
      <c r="H29" s="30">
        <f>SUMIFS(Budget!$M$5:$M$90,Budget!$Q$5:$Q$90,$A29,Budget!$R$5:$R$90,$B29)</f>
        <v>717738.10330000008</v>
      </c>
    </row>
    <row r="30" spans="1:8">
      <c r="A30" s="28" t="s">
        <v>94</v>
      </c>
      <c r="B30" t="s">
        <v>134</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c r="A31" s="28" t="s">
        <v>36</v>
      </c>
      <c r="B31" t="s">
        <v>134</v>
      </c>
      <c r="C31" s="29">
        <f>SUMIFS(Budget!$H$5:$H$90,Budget!$Q$5:$Q$90,$A31,Budget!$R$5:$R$90,$B31)</f>
        <v>0</v>
      </c>
      <c r="D31" s="4">
        <f>SUMIFS(Budget!$I$5:$I$90,Budget!$Q$5:$Q$90,$A31,Budget!$R$5:$R$90,$B31)</f>
        <v>27352592</v>
      </c>
      <c r="E31" s="29">
        <f>SUMIFS(Budget!$J$5:$J$90,Budget!$Q$5:$Q$90,$A31,Budget!$R$5:$R$90,$B31)</f>
        <v>0</v>
      </c>
      <c r="F31" s="4">
        <f>SUMIFS(Budget!$K$5:$K$90,Budget!$Q$5:$Q$90,$A31,Budget!$R$5:$R$90,$B31)</f>
        <v>28720221.599999998</v>
      </c>
      <c r="G31" s="29">
        <f>SUMIFS(Budget!$L$5:$L$90,Budget!$Q$5:$Q$90,$A31,Budget!$R$5:$R$90,$B31)</f>
        <v>0</v>
      </c>
      <c r="H31" s="30">
        <f>SUMIFS(Budget!$M$5:$M$90,Budget!$Q$5:$Q$90,$A31,Budget!$R$5:$R$90,$B31)</f>
        <v>30156232.680000007</v>
      </c>
    </row>
    <row r="32" spans="1:8">
      <c r="A32" s="28" t="s">
        <v>135</v>
      </c>
      <c r="B32" t="s">
        <v>133</v>
      </c>
      <c r="C32" s="29">
        <f>SUMIFS(Budget!$H$5:$H$90,Budget!$Q$5:$Q$90,$A32,Budget!$R$5:$R$90,$B32)</f>
        <v>185</v>
      </c>
      <c r="D32" s="4">
        <f>SUMIFS(Budget!$I$5:$I$90,Budget!$Q$5:$Q$90,$A32,Budget!$R$5:$R$90,$B32)</f>
        <v>17142048</v>
      </c>
      <c r="E32" s="29">
        <f>SUMIFS(Budget!$J$5:$J$90,Budget!$Q$5:$Q$90,$A32,Budget!$R$5:$R$90,$B32)</f>
        <v>185</v>
      </c>
      <c r="F32" s="4">
        <f>SUMIFS(Budget!$K$5:$K$90,Budget!$Q$5:$Q$90,$A32,Budget!$R$5:$R$90,$B32)</f>
        <v>17656309.440000001</v>
      </c>
      <c r="G32" s="29">
        <f>SUMIFS(Budget!$L$5:$L$90,Budget!$Q$5:$Q$90,$A32,Budget!$R$5:$R$90,$B32)</f>
        <v>185</v>
      </c>
      <c r="H32" s="30">
        <f>SUMIFS(Budget!$M$5:$M$90,Budget!$Q$5:$Q$90,$A32,Budget!$R$5:$R$90,$B32)</f>
        <v>18185998.723200001</v>
      </c>
    </row>
    <row r="33" spans="1:8">
      <c r="A33" s="28" t="s">
        <v>135</v>
      </c>
      <c r="B33" t="s">
        <v>134</v>
      </c>
      <c r="C33" s="29">
        <f>SUMIFS(Budget!$H$5:$H$90,Budget!$Q$5:$Q$90,$A33,Budget!$R$5:$R$90,$B33)</f>
        <v>0</v>
      </c>
      <c r="D33" s="4">
        <f>SUMIFS(Budget!$I$5:$I$90,Budget!$Q$5:$Q$90,$A33,Budget!$R$5:$R$90,$B33)</f>
        <v>0</v>
      </c>
      <c r="E33" s="29">
        <f>SUMIFS(Budget!$J$5:$J$90,Budget!$Q$5:$Q$90,$A33,Budget!$R$5:$R$90,$B33)</f>
        <v>0</v>
      </c>
      <c r="F33" s="4">
        <f>SUMIFS(Budget!$K$5:$K$90,Budget!$Q$5:$Q$90,$A33,Budget!$R$5:$R$90,$B33)</f>
        <v>0</v>
      </c>
      <c r="G33" s="29">
        <f>SUMIFS(Budget!$L$5:$L$90,Budget!$Q$5:$Q$90,$A33,Budget!$R$5:$R$90,$B33)</f>
        <v>0</v>
      </c>
      <c r="H33" s="30">
        <f>SUMIFS(Budget!$M$5:$M$90,Budget!$Q$5:$Q$90,$A33,Budget!$R$5:$R$90,$B33)</f>
        <v>0</v>
      </c>
    </row>
    <row r="34" spans="1:8">
      <c r="A34" s="28" t="s">
        <v>136</v>
      </c>
      <c r="B34" t="s">
        <v>133</v>
      </c>
      <c r="C34" s="29">
        <f>SUMIFS(Budget!$H$5:$H$90,Budget!$Q$5:$Q$90,$A34,Budget!$R$5:$R$90,$B34)</f>
        <v>96</v>
      </c>
      <c r="D34" s="4">
        <f>SUMIFS(Budget!$I$5:$I$90,Budget!$Q$5:$Q$90,$A34,Budget!$R$5:$R$90,$B34)</f>
        <v>10764820</v>
      </c>
      <c r="E34" s="29">
        <f>SUMIFS(Budget!$J$5:$J$90,Budget!$Q$5:$Q$90,$A34,Budget!$R$5:$R$90,$B34)</f>
        <v>96</v>
      </c>
      <c r="F34" s="4">
        <f>SUMIFS(Budget!$K$5:$K$90,Budget!$Q$5:$Q$90,$A34,Budget!$R$5:$R$90,$B34)</f>
        <v>11087764.6</v>
      </c>
      <c r="G34" s="29">
        <f>SUMIFS(Budget!$L$5:$L$90,Budget!$Q$5:$Q$90,$A34,Budget!$R$5:$R$90,$B34)</f>
        <v>96</v>
      </c>
      <c r="H34" s="30">
        <f>SUMIFS(Budget!$M$5:$M$90,Budget!$Q$5:$Q$90,$A34,Budget!$R$5:$R$90,$B34)</f>
        <v>11420397.537999999</v>
      </c>
    </row>
    <row r="35" spans="1:8">
      <c r="A35" s="28" t="s">
        <v>137</v>
      </c>
      <c r="B35" t="s">
        <v>138</v>
      </c>
      <c r="C35" s="29">
        <f>SUMIFS(Budget!$H$5:$H$90,Budget!$Q$5:$Q$90,$A35,Budget!$R$5:$R$90,$B35)</f>
        <v>0</v>
      </c>
      <c r="D35" s="4">
        <f>SUMIFS(Budget!$I$5:$I$90,Budget!$Q$5:$Q$90,$A35,Budget!$R$5:$R$90,$B35)</f>
        <v>1528370</v>
      </c>
      <c r="E35" s="29">
        <f>SUMIFS(Budget!$J$5:$J$90,Budget!$Q$5:$Q$90,$A35,Budget!$R$5:$R$90,$B35)</f>
        <v>0</v>
      </c>
      <c r="F35" s="4">
        <f>SUMIFS(Budget!$K$5:$K$90,Budget!$Q$5:$Q$90,$A35,Budget!$R$5:$R$90,$B35)</f>
        <v>1574221.1</v>
      </c>
      <c r="G35" s="29">
        <f>SUMIFS(Budget!$L$5:$L$90,Budget!$Q$5:$Q$90,$A35,Budget!$R$5:$R$90,$B35)</f>
        <v>0</v>
      </c>
      <c r="H35" s="30">
        <f>SUMIFS(Budget!$M$5:$M$90,Budget!$Q$5:$Q$90,$A35,Budget!$R$5:$R$90,$B35)</f>
        <v>1621447.7330000002</v>
      </c>
    </row>
    <row r="36" spans="1:8">
      <c r="A36" s="28" t="s">
        <v>137</v>
      </c>
      <c r="B36" t="s">
        <v>139</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c r="A37" s="28" t="s">
        <v>140</v>
      </c>
      <c r="B37" t="s">
        <v>138</v>
      </c>
      <c r="C37" s="29">
        <f>SUMIFS(Budget!$H$5:$H$90,Budget!$Q$5:$Q$90,$A37,Budget!$R$5:$R$90,$B37)</f>
        <v>0</v>
      </c>
      <c r="D37" s="4">
        <f>SUMIFS(Budget!$I$5:$I$90,Budget!$Q$5:$Q$90,$A37,Budget!$R$5:$R$90,$B37)</f>
        <v>1425000</v>
      </c>
      <c r="E37" s="29">
        <f>SUMIFS(Budget!$J$5:$J$90,Budget!$Q$5:$Q$90,$A37,Budget!$R$5:$R$90,$B37)</f>
        <v>0</v>
      </c>
      <c r="F37" s="4">
        <f>SUMIFS(Budget!$K$5:$K$90,Budget!$Q$5:$Q$90,$A37,Budget!$R$5:$R$90,$B37)</f>
        <v>1467750</v>
      </c>
      <c r="G37" s="29">
        <f>SUMIFS(Budget!$L$5:$L$90,Budget!$Q$5:$Q$90,$A37,Budget!$R$5:$R$90,$B37)</f>
        <v>0</v>
      </c>
      <c r="H37" s="30">
        <f>SUMIFS(Budget!$M$5:$M$90,Budget!$Q$5:$Q$90,$A37,Budget!$R$5:$R$90,$B37)</f>
        <v>1511782.5</v>
      </c>
    </row>
    <row r="38" spans="1:8">
      <c r="A38" s="28" t="s">
        <v>140</v>
      </c>
      <c r="B38" t="s">
        <v>139</v>
      </c>
      <c r="C38" s="29">
        <f>SUMIFS(Budget!$H$5:$H$90,Budget!$Q$5:$Q$90,$A38,Budget!$R$5:$R$90,$B38)</f>
        <v>0</v>
      </c>
      <c r="D38" s="4">
        <f>SUMIFS(Budget!$I$5:$I$90,Budget!$Q$5:$Q$90,$A38,Budget!$R$5:$R$90,$B38)</f>
        <v>304200</v>
      </c>
      <c r="E38" s="29">
        <f>SUMIFS(Budget!$J$5:$J$90,Budget!$Q$5:$Q$90,$A38,Budget!$R$5:$R$90,$B38)</f>
        <v>0</v>
      </c>
      <c r="F38" s="4">
        <f>SUMIFS(Budget!$K$5:$K$90,Budget!$Q$5:$Q$90,$A38,Budget!$R$5:$R$90,$B38)</f>
        <v>313326</v>
      </c>
      <c r="G38" s="29">
        <f>SUMIFS(Budget!$L$5:$L$90,Budget!$Q$5:$Q$90,$A38,Budget!$R$5:$R$90,$B38)</f>
        <v>0</v>
      </c>
      <c r="H38" s="30">
        <f>SUMIFS(Budget!$M$5:$M$90,Budget!$Q$5:$Q$90,$A38,Budget!$R$5:$R$90,$B38)</f>
        <v>322725.78000000003</v>
      </c>
    </row>
    <row r="39" spans="1:8">
      <c r="A39" s="28" t="s">
        <v>79</v>
      </c>
      <c r="B39" t="s">
        <v>141</v>
      </c>
      <c r="C39" s="29">
        <f>SUMIFS(Budget!$H$5:$H$90,Budget!$Q$5:$Q$90,$A39,Budget!$R$5:$R$90,$B39)</f>
        <v>28</v>
      </c>
      <c r="D39" s="4">
        <f>SUMIFS(Budget!$I$5:$I$90,Budget!$Q$5:$Q$90,$A39,Budget!$R$5:$R$90,$B39)</f>
        <v>1069516</v>
      </c>
      <c r="E39" s="29">
        <f>SUMIFS(Budget!$J$5:$J$90,Budget!$Q$5:$Q$90,$A39,Budget!$R$5:$R$90,$B39)</f>
        <v>28</v>
      </c>
      <c r="F39" s="4">
        <f>SUMIFS(Budget!$K$5:$K$90,Budget!$Q$5:$Q$90,$A39,Budget!$R$5:$R$90,$B39)</f>
        <v>1101601.48</v>
      </c>
      <c r="G39" s="29">
        <f>SUMIFS(Budget!$L$5:$L$90,Budget!$Q$5:$Q$90,$A39,Budget!$R$5:$R$90,$B39)</f>
        <v>28</v>
      </c>
      <c r="H39" s="30">
        <f>SUMIFS(Budget!$M$5:$M$90,Budget!$Q$5:$Q$90,$A39,Budget!$R$5:$R$90,$B39)</f>
        <v>1134649.5244</v>
      </c>
    </row>
    <row r="40" spans="1:8">
      <c r="A40" s="28" t="s">
        <v>79</v>
      </c>
      <c r="B40" t="s">
        <v>142</v>
      </c>
      <c r="C40" s="29">
        <f>SUMIFS(Budget!$H$5:$H$90,Budget!$Q$5:$Q$90,$A40,Budget!$R$5:$R$90,$B40)</f>
        <v>29</v>
      </c>
      <c r="D40" s="4">
        <f>SUMIFS(Budget!$I$5:$I$90,Budget!$Q$5:$Q$90,$A40,Budget!$R$5:$R$90,$B40)</f>
        <v>1712808</v>
      </c>
      <c r="E40" s="29">
        <f>SUMIFS(Budget!$J$5:$J$90,Budget!$Q$5:$Q$90,$A40,Budget!$R$5:$R$90,$B40)</f>
        <v>29</v>
      </c>
      <c r="F40" s="4">
        <f>SUMIFS(Budget!$K$5:$K$90,Budget!$Q$5:$Q$90,$A40,Budget!$R$5:$R$90,$B40)</f>
        <v>1764192.24</v>
      </c>
      <c r="G40" s="29">
        <f>SUMIFS(Budget!$L$5:$L$90,Budget!$Q$5:$Q$90,$A40,Budget!$R$5:$R$90,$B40)</f>
        <v>29</v>
      </c>
      <c r="H40" s="30">
        <f>SUMIFS(Budget!$M$5:$M$90,Budget!$Q$5:$Q$90,$A40,Budget!$R$5:$R$90,$B40)</f>
        <v>1817118.0072000001</v>
      </c>
    </row>
    <row r="41" spans="1:8">
      <c r="A41" s="28" t="s">
        <v>79</v>
      </c>
      <c r="B41" t="s">
        <v>134</v>
      </c>
      <c r="C41" s="29">
        <f>SUMIFS(Budget!$H$5:$H$90,Budget!$Q$5:$Q$90,$A41,Budget!$R$5:$R$90,$B41)</f>
        <v>0</v>
      </c>
      <c r="D41" s="4">
        <f>SUMIFS(Budget!$I$5:$I$90,Budget!$Q$5:$Q$90,$A41,Budget!$R$5:$R$90,$B41)</f>
        <v>0</v>
      </c>
      <c r="E41" s="29">
        <f>SUMIFS(Budget!$J$5:$J$90,Budget!$Q$5:$Q$90,$A41,Budget!$R$5:$R$90,$B41)</f>
        <v>0</v>
      </c>
      <c r="F41" s="4">
        <f>SUMIFS(Budget!$K$5:$K$90,Budget!$Q$5:$Q$90,$A41,Budget!$R$5:$R$90,$B41)</f>
        <v>0</v>
      </c>
      <c r="G41" s="29">
        <f>SUMIFS(Budget!$L$5:$L$90,Budget!$Q$5:$Q$90,$A41,Budget!$R$5:$R$90,$B41)</f>
        <v>0</v>
      </c>
      <c r="H41" s="30">
        <f>SUMIFS(Budget!$M$5:$M$90,Budget!$Q$5:$Q$90,$A41,Budget!$R$5:$R$90,$B41)</f>
        <v>0</v>
      </c>
    </row>
    <row r="42" spans="1:8">
      <c r="A42" s="28" t="s">
        <v>32</v>
      </c>
      <c r="B42" t="s">
        <v>134</v>
      </c>
      <c r="C42" s="29">
        <f>SUMIFS(Budget!$H$5:$H$90,Budget!$Q$5:$Q$90,$A42,Budget!$R$5:$R$90,$B42)</f>
        <v>0</v>
      </c>
      <c r="D42" s="4">
        <f>SUMIFS(Budget!$I$5:$I$90,Budget!$Q$5:$Q$90,$A42,Budget!$R$5:$R$90,$B42)</f>
        <v>0</v>
      </c>
      <c r="E42" s="29">
        <f>SUMIFS(Budget!$J$5:$J$90,Budget!$Q$5:$Q$90,$A42,Budget!$R$5:$R$90,$B42)</f>
        <v>0</v>
      </c>
      <c r="F42" s="4">
        <f>SUMIFS(Budget!$K$5:$K$90,Budget!$Q$5:$Q$90,$A42,Budget!$R$5:$R$90,$B42)</f>
        <v>0</v>
      </c>
      <c r="G42" s="29">
        <f>SUMIFS(Budget!$L$5:$L$90,Budget!$Q$5:$Q$90,$A42,Budget!$R$5:$R$90,$B42)</f>
        <v>0</v>
      </c>
      <c r="H42" s="30">
        <f>SUMIFS(Budget!$M$5:$M$90,Budget!$Q$5:$Q$90,$A42,Budget!$R$5:$R$90,$B42)</f>
        <v>0</v>
      </c>
    </row>
    <row r="43" spans="1:8">
      <c r="A43" s="28" t="s">
        <v>50</v>
      </c>
      <c r="B43" t="s">
        <v>142</v>
      </c>
      <c r="C43" s="29">
        <f>SUMIFS(Budget!$H$5:$H$90,Budget!$Q$5:$Q$90,$A43,Budget!$R$5:$R$90,$B43)</f>
        <v>59</v>
      </c>
      <c r="D43" s="4">
        <f>SUMIFS(Budget!$I$5:$I$90,Budget!$Q$5:$Q$90,$A43,Budget!$R$5:$R$90,$B43)</f>
        <v>4054415</v>
      </c>
      <c r="E43" s="29">
        <f>SUMIFS(Budget!$J$5:$J$90,Budget!$Q$5:$Q$90,$A43,Budget!$R$5:$R$90,$B43)</f>
        <v>59</v>
      </c>
      <c r="F43" s="4">
        <f>SUMIFS(Budget!$K$5:$K$90,Budget!$Q$5:$Q$90,$A43,Budget!$R$5:$R$90,$B43)</f>
        <v>4176047.45</v>
      </c>
      <c r="G43" s="29">
        <f>SUMIFS(Budget!$L$5:$L$90,Budget!$Q$5:$Q$90,$A43,Budget!$R$5:$R$90,$B43)</f>
        <v>59</v>
      </c>
      <c r="H43" s="30">
        <f>SUMIFS(Budget!$M$5:$M$90,Budget!$Q$5:$Q$90,$A43,Budget!$R$5:$R$90,$B43)</f>
        <v>4301328.8735000007</v>
      </c>
    </row>
    <row r="44" spans="1:8">
      <c r="A44" s="28" t="s">
        <v>143</v>
      </c>
      <c r="B44" t="s">
        <v>133</v>
      </c>
      <c r="C44" s="29">
        <f>SUMIFS(Budget!$H$5:$H$90,Budget!$Q$5:$Q$90,$A44,Budget!$R$5:$R$90,$B44)</f>
        <v>1415</v>
      </c>
      <c r="D44" s="4">
        <f>SUMIFS(Budget!$I$5:$I$90,Budget!$Q$5:$Q$90,$A44,Budget!$R$5:$R$90,$B44)</f>
        <v>121684523</v>
      </c>
      <c r="E44" s="29">
        <f>SUMIFS(Budget!$J$5:$J$90,Budget!$Q$5:$Q$90,$A44,Budget!$R$5:$R$90,$B44)</f>
        <v>1312</v>
      </c>
      <c r="F44" s="4">
        <f>SUMIFS(Budget!$K$5:$K$90,Budget!$Q$5:$Q$90,$A44,Budget!$R$5:$R$90,$B44)</f>
        <v>125335058.68999998</v>
      </c>
      <c r="G44" s="29">
        <f>SUMIFS(Budget!$L$5:$L$90,Budget!$Q$5:$Q$90,$A44,Budget!$R$5:$R$90,$B44)</f>
        <v>1312</v>
      </c>
      <c r="H44" s="30">
        <f>SUMIFS(Budget!$M$5:$M$90,Budget!$Q$5:$Q$90,$A44,Budget!$R$5:$R$90,$B44)</f>
        <v>129095110.4507</v>
      </c>
    </row>
    <row r="45" spans="1:8">
      <c r="A45" s="28" t="s">
        <v>143</v>
      </c>
      <c r="B45" t="s">
        <v>139</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c r="A46" s="31" t="s">
        <v>131</v>
      </c>
      <c r="B46" s="32"/>
      <c r="C46" s="33">
        <f t="shared" ref="C46:H46" si="1">SUM(C29:C45)</f>
        <v>1816</v>
      </c>
      <c r="D46" s="34">
        <f t="shared" si="1"/>
        <v>187714829</v>
      </c>
      <c r="E46" s="33">
        <f t="shared" si="1"/>
        <v>1713</v>
      </c>
      <c r="F46" s="34">
        <f t="shared" si="1"/>
        <v>193893325.70999998</v>
      </c>
      <c r="G46" s="33">
        <f t="shared" si="1"/>
        <v>1713</v>
      </c>
      <c r="H46" s="35">
        <f t="shared" si="1"/>
        <v>200284529.91330004</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zoomScaleNormal="100" workbookViewId="0">
      <selection activeCell="A11" sqref="A11"/>
    </sheetView>
  </sheetViews>
  <sheetFormatPr defaultColWidth="12.5703125" defaultRowHeight="12.75"/>
  <cols>
    <col min="1" max="1" width="43.7109375" customWidth="1"/>
    <col min="2" max="2" width="23.140625" customWidth="1"/>
  </cols>
  <sheetData>
    <row r="1" spans="1:9">
      <c r="A1" s="26" t="s">
        <v>144</v>
      </c>
      <c r="B1" s="26" t="s">
        <v>129</v>
      </c>
      <c r="C1" s="26" t="s">
        <v>18</v>
      </c>
      <c r="D1" s="26" t="s">
        <v>145</v>
      </c>
    </row>
    <row r="2" spans="1:9" ht="15.75" customHeight="1">
      <c r="A2" t="s">
        <v>94</v>
      </c>
      <c r="B2" t="s">
        <v>146</v>
      </c>
    </row>
    <row r="3" spans="1:9" ht="15.75" customHeight="1">
      <c r="A3" t="s">
        <v>42</v>
      </c>
      <c r="B3" t="s">
        <v>27</v>
      </c>
    </row>
    <row r="4" spans="1:9" ht="15.75" customHeight="1">
      <c r="A4" t="s">
        <v>44</v>
      </c>
      <c r="B4" t="s">
        <v>93</v>
      </c>
    </row>
    <row r="5" spans="1:9" ht="15.75" customHeight="1">
      <c r="A5" t="s">
        <v>79</v>
      </c>
      <c r="B5" t="s">
        <v>97</v>
      </c>
    </row>
    <row r="6" spans="1:9" ht="15.75" customHeight="1">
      <c r="A6" t="s">
        <v>32</v>
      </c>
      <c r="B6" t="s">
        <v>41</v>
      </c>
    </row>
    <row r="7" spans="1:9" ht="15.75" customHeight="1">
      <c r="A7" t="s">
        <v>30</v>
      </c>
      <c r="B7" t="s">
        <v>24</v>
      </c>
    </row>
    <row r="8" spans="1:9" ht="15.75" customHeight="1">
      <c r="A8" t="s">
        <v>25</v>
      </c>
      <c r="B8" t="s">
        <v>53</v>
      </c>
    </row>
    <row r="9" spans="1:9" ht="15.75" customHeight="1">
      <c r="A9" t="s">
        <v>50</v>
      </c>
      <c r="B9" t="s">
        <v>29</v>
      </c>
    </row>
    <row r="10" spans="1:9" ht="15.75" customHeight="1">
      <c r="A10" t="s">
        <v>34</v>
      </c>
      <c r="B10" t="s">
        <v>147</v>
      </c>
    </row>
    <row r="11" spans="1:9" ht="15.75" customHeight="1">
      <c r="A11" t="s">
        <v>148</v>
      </c>
      <c r="B11" t="s">
        <v>89</v>
      </c>
    </row>
    <row r="12" spans="1:9" ht="15.75" customHeight="1">
      <c r="A12" t="s">
        <v>149</v>
      </c>
    </row>
    <row r="13" spans="1:9" ht="15.75" customHeight="1">
      <c r="A13" t="s">
        <v>89</v>
      </c>
    </row>
    <row r="15" spans="1:9" ht="15.75" customHeight="1">
      <c r="A15" s="36" t="s">
        <v>150</v>
      </c>
    </row>
    <row r="16" spans="1:9" ht="15.75" customHeight="1">
      <c r="A16" s="37" t="s">
        <v>151</v>
      </c>
      <c r="G16" t="s">
        <v>152</v>
      </c>
      <c r="I16" t="s">
        <v>153</v>
      </c>
    </row>
    <row r="17" spans="1:1" ht="15.75" customHeight="1">
      <c r="A17" t="s">
        <v>154</v>
      </c>
    </row>
    <row r="18" spans="1:1" ht="15.75" customHeight="1">
      <c r="A18" t="s">
        <v>155</v>
      </c>
    </row>
    <row r="19" spans="1:1" ht="15.75" customHeight="1">
      <c r="A19" t="s">
        <v>156</v>
      </c>
    </row>
    <row r="20" spans="1:1" ht="15.75" customHeight="1">
      <c r="A20" t="s">
        <v>152</v>
      </c>
    </row>
    <row r="21" spans="1:1" ht="15.75" customHeight="1">
      <c r="A21" t="s">
        <v>157</v>
      </c>
    </row>
    <row r="22" spans="1:1" ht="15.75" customHeight="1">
      <c r="A22" t="s">
        <v>158</v>
      </c>
    </row>
    <row r="23" spans="1:1" ht="15.75" customHeight="1">
      <c r="A23" s="36" t="s">
        <v>159</v>
      </c>
    </row>
    <row r="24" spans="1:1" ht="15.75" customHeight="1">
      <c r="A24" t="s">
        <v>160</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zoomScaleNormal="100" workbookViewId="0">
      <selection activeCell="D1" sqref="D1"/>
    </sheetView>
  </sheetViews>
  <sheetFormatPr defaultColWidth="11.5703125" defaultRowHeight="12.75"/>
  <cols>
    <col min="1" max="1" width="38" customWidth="1"/>
    <col min="2" max="2" width="19.85546875" customWidth="1"/>
    <col min="3" max="3" width="25" customWidth="1"/>
    <col min="4" max="4" width="14.5703125" customWidth="1"/>
    <col min="5" max="5" width="18.85546875" customWidth="1"/>
    <col min="6" max="6" width="21.140625" customWidth="1"/>
    <col min="7" max="7" width="27.85546875" customWidth="1"/>
  </cols>
  <sheetData>
    <row r="1" spans="1:13" ht="25.5">
      <c r="A1" s="26" t="s">
        <v>161</v>
      </c>
      <c r="B1" s="38" t="s">
        <v>162</v>
      </c>
      <c r="C1" s="26" t="s">
        <v>163</v>
      </c>
      <c r="D1" s="26" t="s">
        <v>16</v>
      </c>
      <c r="E1" s="26" t="s">
        <v>164</v>
      </c>
      <c r="F1" s="26" t="s">
        <v>165</v>
      </c>
      <c r="G1" s="26" t="s">
        <v>7</v>
      </c>
      <c r="L1" s="26" t="s">
        <v>18</v>
      </c>
      <c r="M1" s="26" t="s">
        <v>129</v>
      </c>
    </row>
    <row r="2" spans="1:13">
      <c r="A2" t="str">
        <f t="shared" ref="A2:A28" si="0">_xlfn.CONCAT(B2,"-",C2)</f>
        <v>Administration-Salaries - Administrator</v>
      </c>
      <c r="B2" s="21" t="s">
        <v>94</v>
      </c>
      <c r="C2" t="s">
        <v>93</v>
      </c>
      <c r="D2" t="s">
        <v>94</v>
      </c>
      <c r="E2" t="s">
        <v>166</v>
      </c>
      <c r="F2" t="str">
        <f t="shared" ref="F2:F28" si="1">VLOOKUP(E2,$L$2:$M$7,2)</f>
        <v>Professional Salaries</v>
      </c>
      <c r="G2" t="str">
        <f t="shared" ref="G2:G28" si="2">_xlfn.CONCAT(E2,"-",F2)</f>
        <v>01-Professional Salaries</v>
      </c>
      <c r="L2" t="s">
        <v>166</v>
      </c>
      <c r="M2" t="s">
        <v>167</v>
      </c>
    </row>
    <row r="3" spans="1:13">
      <c r="A3" t="str">
        <f t="shared" si="0"/>
        <v>Administration-Other</v>
      </c>
      <c r="B3" s="21" t="s">
        <v>94</v>
      </c>
      <c r="C3" t="s">
        <v>89</v>
      </c>
      <c r="D3" t="s">
        <v>94</v>
      </c>
      <c r="E3" t="s">
        <v>168</v>
      </c>
      <c r="F3" t="str">
        <f t="shared" si="1"/>
        <v>Other Expenses</v>
      </c>
      <c r="G3" t="str">
        <f t="shared" si="2"/>
        <v>06-Other Expenses</v>
      </c>
      <c r="L3" t="s">
        <v>169</v>
      </c>
      <c r="M3" t="s">
        <v>170</v>
      </c>
    </row>
    <row r="4" spans="1:13">
      <c r="A4" t="str">
        <f t="shared" si="0"/>
        <v>Administration-Contractual Services</v>
      </c>
      <c r="B4" s="21" t="s">
        <v>94</v>
      </c>
      <c r="C4" t="s">
        <v>27</v>
      </c>
      <c r="D4" t="s">
        <v>94</v>
      </c>
      <c r="E4" t="s">
        <v>171</v>
      </c>
      <c r="F4" t="str">
        <f t="shared" si="1"/>
        <v>Contracted Services</v>
      </c>
      <c r="G4" t="str">
        <f t="shared" si="2"/>
        <v>04-Contracted Services</v>
      </c>
      <c r="L4" t="s">
        <v>172</v>
      </c>
      <c r="M4" t="s">
        <v>173</v>
      </c>
    </row>
    <row r="5" spans="1:13" ht="25.5">
      <c r="A5" t="str">
        <f t="shared" si="0"/>
        <v>Classroom &amp; Specialist Teachers-Salaries - Instructional</v>
      </c>
      <c r="B5" s="21" t="s">
        <v>44</v>
      </c>
      <c r="C5" t="s">
        <v>41</v>
      </c>
      <c r="D5" t="s">
        <v>143</v>
      </c>
      <c r="E5" s="21" t="s">
        <v>166</v>
      </c>
      <c r="F5" t="str">
        <f t="shared" si="1"/>
        <v>Professional Salaries</v>
      </c>
      <c r="G5" t="str">
        <f t="shared" si="2"/>
        <v>01-Professional Salaries</v>
      </c>
      <c r="L5" t="s">
        <v>171</v>
      </c>
      <c r="M5" t="s">
        <v>174</v>
      </c>
    </row>
    <row r="6" spans="1:13" ht="25.5">
      <c r="A6" t="str">
        <f t="shared" si="0"/>
        <v>Classroom &amp; Specialist Teachers-Stipends</v>
      </c>
      <c r="B6" s="21" t="s">
        <v>44</v>
      </c>
      <c r="C6" t="s">
        <v>53</v>
      </c>
      <c r="D6" t="s">
        <v>143</v>
      </c>
      <c r="E6" s="21" t="s">
        <v>166</v>
      </c>
      <c r="F6" t="str">
        <f t="shared" si="1"/>
        <v>Professional Salaries</v>
      </c>
      <c r="G6" t="str">
        <f t="shared" si="2"/>
        <v>01-Professional Salaries</v>
      </c>
      <c r="L6" t="s">
        <v>175</v>
      </c>
      <c r="M6" t="s">
        <v>29</v>
      </c>
    </row>
    <row r="7" spans="1:13" ht="25.5">
      <c r="A7" t="str">
        <f t="shared" si="0"/>
        <v>Classroom &amp; Specialist Teachers-Supplies and Materials</v>
      </c>
      <c r="B7" s="21" t="s">
        <v>44</v>
      </c>
      <c r="C7" t="s">
        <v>29</v>
      </c>
      <c r="D7" t="s">
        <v>143</v>
      </c>
      <c r="E7" s="21" t="s">
        <v>175</v>
      </c>
      <c r="F7" t="str">
        <f t="shared" si="1"/>
        <v>Supplies and Materials</v>
      </c>
      <c r="G7" t="str">
        <f t="shared" si="2"/>
        <v>05-Supplies and Materials</v>
      </c>
      <c r="L7" t="s">
        <v>168</v>
      </c>
      <c r="M7" t="s">
        <v>176</v>
      </c>
    </row>
    <row r="8" spans="1:13" ht="25.5">
      <c r="A8" t="str">
        <f t="shared" si="0"/>
        <v>Classroom &amp; Specialist Teachers-Other</v>
      </c>
      <c r="B8" s="21" t="s">
        <v>44</v>
      </c>
      <c r="C8" t="s">
        <v>89</v>
      </c>
      <c r="D8" t="s">
        <v>143</v>
      </c>
      <c r="E8" s="21" t="s">
        <v>168</v>
      </c>
      <c r="F8" t="str">
        <f t="shared" si="1"/>
        <v>Other Expenses</v>
      </c>
      <c r="G8" t="str">
        <f t="shared" si="2"/>
        <v>06-Other Expenses</v>
      </c>
    </row>
    <row r="9" spans="1:13" ht="38.25">
      <c r="A9" t="str">
        <f t="shared" si="0"/>
        <v>Guidance and Psychological-Contractual Services</v>
      </c>
      <c r="B9" s="21" t="s">
        <v>25</v>
      </c>
      <c r="C9" t="s">
        <v>27</v>
      </c>
      <c r="D9" s="21" t="s">
        <v>135</v>
      </c>
      <c r="E9" s="21" t="s">
        <v>171</v>
      </c>
      <c r="F9" t="str">
        <f t="shared" si="1"/>
        <v>Contracted Services</v>
      </c>
      <c r="G9" t="str">
        <f t="shared" si="2"/>
        <v>04-Contracted Services</v>
      </c>
    </row>
    <row r="10" spans="1:13" ht="38.25">
      <c r="A10" t="str">
        <f t="shared" si="0"/>
        <v>Guidance and Psychological-Salaries - Other</v>
      </c>
      <c r="B10" s="21" t="s">
        <v>25</v>
      </c>
      <c r="C10" t="s">
        <v>24</v>
      </c>
      <c r="D10" s="21" t="s">
        <v>135</v>
      </c>
      <c r="E10" s="21" t="s">
        <v>166</v>
      </c>
      <c r="F10" t="str">
        <f t="shared" si="1"/>
        <v>Professional Salaries</v>
      </c>
      <c r="G10" t="str">
        <f t="shared" si="2"/>
        <v>01-Professional Salaries</v>
      </c>
    </row>
    <row r="11" spans="1:13">
      <c r="A11" t="str">
        <f t="shared" si="0"/>
        <v>Instruction Leadership-Salaries - Instructional</v>
      </c>
      <c r="B11" s="21" t="s">
        <v>42</v>
      </c>
      <c r="C11" t="s">
        <v>41</v>
      </c>
      <c r="D11" t="s">
        <v>136</v>
      </c>
      <c r="E11" s="21" t="s">
        <v>166</v>
      </c>
      <c r="F11" t="str">
        <f t="shared" si="1"/>
        <v>Professional Salaries</v>
      </c>
      <c r="G11" t="str">
        <f t="shared" si="2"/>
        <v>01-Professional Salaries</v>
      </c>
    </row>
    <row r="12" spans="1:13">
      <c r="A12" t="str">
        <f t="shared" si="0"/>
        <v>Instruction Leadership-Stipends</v>
      </c>
      <c r="B12" s="21" t="s">
        <v>42</v>
      </c>
      <c r="C12" t="s">
        <v>53</v>
      </c>
      <c r="D12" t="s">
        <v>136</v>
      </c>
      <c r="E12" s="21" t="s">
        <v>166</v>
      </c>
      <c r="F12" t="str">
        <f t="shared" si="1"/>
        <v>Professional Salaries</v>
      </c>
      <c r="G12" t="str">
        <f t="shared" si="2"/>
        <v>01-Professional Salaries</v>
      </c>
    </row>
    <row r="13" spans="1:13" ht="51">
      <c r="A13" t="str">
        <f t="shared" si="0"/>
        <v>Instructional Materials, Equip., and Tech.-Contractual Services</v>
      </c>
      <c r="B13" s="21" t="s">
        <v>30</v>
      </c>
      <c r="C13" t="s">
        <v>27</v>
      </c>
      <c r="D13" s="21" t="s">
        <v>137</v>
      </c>
      <c r="E13" s="21" t="s">
        <v>168</v>
      </c>
      <c r="F13" t="str">
        <f t="shared" si="1"/>
        <v>Other Expenses</v>
      </c>
      <c r="G13" t="str">
        <f t="shared" si="2"/>
        <v>06-Other Expenses</v>
      </c>
    </row>
    <row r="14" spans="1:13" ht="51">
      <c r="A14" t="str">
        <f t="shared" si="0"/>
        <v>Instructional Materials, Equip., and Tech.-Operations and Management</v>
      </c>
      <c r="B14" s="21" t="s">
        <v>30</v>
      </c>
      <c r="C14" t="s">
        <v>177</v>
      </c>
      <c r="D14" s="21" t="s">
        <v>137</v>
      </c>
      <c r="E14" s="21" t="s">
        <v>175</v>
      </c>
      <c r="F14" t="str">
        <f t="shared" si="1"/>
        <v>Supplies and Materials</v>
      </c>
      <c r="G14" t="str">
        <f t="shared" si="2"/>
        <v>05-Supplies and Materials</v>
      </c>
    </row>
    <row r="15" spans="1:13" ht="51">
      <c r="A15" t="str">
        <f t="shared" si="0"/>
        <v>Instructional Materials, Equip., and Tech.-Supplies and Materials</v>
      </c>
      <c r="B15" s="21" t="s">
        <v>30</v>
      </c>
      <c r="C15" t="s">
        <v>29</v>
      </c>
      <c r="D15" s="21" t="s">
        <v>137</v>
      </c>
      <c r="E15" s="21" t="s">
        <v>175</v>
      </c>
      <c r="F15" t="str">
        <f t="shared" si="1"/>
        <v>Supplies and Materials</v>
      </c>
      <c r="G15" t="str">
        <f t="shared" si="2"/>
        <v>05-Supplies and Materials</v>
      </c>
    </row>
    <row r="16" spans="1:13" ht="25.5">
      <c r="A16" t="str">
        <f t="shared" si="0"/>
        <v>Operations and Maintenance-Other</v>
      </c>
      <c r="B16" s="21" t="s">
        <v>34</v>
      </c>
      <c r="C16" t="s">
        <v>89</v>
      </c>
      <c r="D16" s="21" t="s">
        <v>140</v>
      </c>
      <c r="E16" s="21" t="s">
        <v>168</v>
      </c>
      <c r="F16" t="str">
        <f t="shared" si="1"/>
        <v>Other Expenses</v>
      </c>
      <c r="G16" t="str">
        <f t="shared" si="2"/>
        <v>06-Other Expenses</v>
      </c>
    </row>
    <row r="17" spans="1:9" ht="25.5">
      <c r="A17" t="str">
        <f t="shared" si="0"/>
        <v>Operations and Maintenance-Supplies and Materials</v>
      </c>
      <c r="B17" s="21" t="s">
        <v>34</v>
      </c>
      <c r="C17" t="s">
        <v>29</v>
      </c>
      <c r="D17" s="21" t="s">
        <v>140</v>
      </c>
      <c r="E17" s="21" t="s">
        <v>175</v>
      </c>
      <c r="F17" t="str">
        <f t="shared" si="1"/>
        <v>Supplies and Materials</v>
      </c>
      <c r="G17" t="str">
        <f t="shared" si="2"/>
        <v>05-Supplies and Materials</v>
      </c>
    </row>
    <row r="18" spans="1:9">
      <c r="A18" t="str">
        <f t="shared" si="0"/>
        <v>Other-Capital Expenditures</v>
      </c>
      <c r="B18" s="21" t="s">
        <v>89</v>
      </c>
      <c r="C18" t="s">
        <v>146</v>
      </c>
      <c r="D18" t="s">
        <v>178</v>
      </c>
      <c r="E18" s="21" t="s">
        <v>168</v>
      </c>
      <c r="F18" t="str">
        <f t="shared" si="1"/>
        <v>Other Expenses</v>
      </c>
      <c r="G18" t="str">
        <f t="shared" si="2"/>
        <v>06-Other Expenses</v>
      </c>
    </row>
    <row r="19" spans="1:9">
      <c r="A19" t="str">
        <f t="shared" si="0"/>
        <v>Other-Contractual Services</v>
      </c>
      <c r="B19" s="21" t="s">
        <v>89</v>
      </c>
      <c r="C19" t="s">
        <v>27</v>
      </c>
      <c r="D19" t="s">
        <v>178</v>
      </c>
      <c r="E19" s="21" t="s">
        <v>171</v>
      </c>
      <c r="F19" t="str">
        <f t="shared" si="1"/>
        <v>Contracted Services</v>
      </c>
      <c r="G19" t="str">
        <f t="shared" si="2"/>
        <v>04-Contracted Services</v>
      </c>
    </row>
    <row r="20" spans="1:9">
      <c r="A20" t="str">
        <f t="shared" si="0"/>
        <v>Other-Other</v>
      </c>
      <c r="B20" s="21" t="s">
        <v>89</v>
      </c>
      <c r="C20" t="s">
        <v>89</v>
      </c>
      <c r="D20" t="s">
        <v>178</v>
      </c>
      <c r="E20" s="21" t="s">
        <v>168</v>
      </c>
      <c r="F20" t="str">
        <f t="shared" si="1"/>
        <v>Other Expenses</v>
      </c>
      <c r="G20" t="str">
        <f t="shared" si="2"/>
        <v>06-Other Expenses</v>
      </c>
    </row>
    <row r="21" spans="1:9">
      <c r="A21" t="str">
        <f t="shared" si="0"/>
        <v>Other-Salaries - Other</v>
      </c>
      <c r="B21" s="21" t="s">
        <v>89</v>
      </c>
      <c r="C21" t="s">
        <v>24</v>
      </c>
      <c r="D21" t="s">
        <v>178</v>
      </c>
      <c r="E21" s="21" t="s">
        <v>172</v>
      </c>
      <c r="F21" t="str">
        <f t="shared" si="1"/>
        <v>Other Salaries</v>
      </c>
      <c r="G21" t="str">
        <f t="shared" si="2"/>
        <v>03-Other Salaries</v>
      </c>
    </row>
    <row r="22" spans="1:9" ht="25.5">
      <c r="A22" t="str">
        <f t="shared" si="0"/>
        <v>Other Teaching Services-Contractual Services</v>
      </c>
      <c r="B22" s="21" t="s">
        <v>79</v>
      </c>
      <c r="C22" t="s">
        <v>27</v>
      </c>
      <c r="D22" s="21" t="s">
        <v>79</v>
      </c>
      <c r="E22" s="21" t="s">
        <v>171</v>
      </c>
      <c r="F22" t="str">
        <f t="shared" si="1"/>
        <v>Contracted Services</v>
      </c>
      <c r="G22" t="str">
        <f t="shared" si="2"/>
        <v>04-Contracted Services</v>
      </c>
    </row>
    <row r="23" spans="1:9" ht="25.5">
      <c r="A23" t="str">
        <f t="shared" si="0"/>
        <v>Other Teaching Services-Salaries - Clerical/Support</v>
      </c>
      <c r="B23" s="21" t="s">
        <v>79</v>
      </c>
      <c r="C23" t="s">
        <v>97</v>
      </c>
      <c r="D23" s="21" t="s">
        <v>79</v>
      </c>
      <c r="E23" s="21" t="s">
        <v>169</v>
      </c>
      <c r="F23" t="str">
        <f t="shared" si="1"/>
        <v>Clerical Salaries</v>
      </c>
      <c r="G23" t="str">
        <f t="shared" si="2"/>
        <v>02-Clerical Salaries</v>
      </c>
    </row>
    <row r="24" spans="1:9" ht="25.5">
      <c r="A24" t="str">
        <f t="shared" si="0"/>
        <v>Other Teaching Services-Salaries - Other</v>
      </c>
      <c r="B24" s="21" t="s">
        <v>79</v>
      </c>
      <c r="C24" t="s">
        <v>24</v>
      </c>
      <c r="D24" s="21" t="s">
        <v>79</v>
      </c>
      <c r="E24" s="21" t="s">
        <v>172</v>
      </c>
      <c r="F24" t="str">
        <f t="shared" si="1"/>
        <v>Other Salaries</v>
      </c>
      <c r="G24" t="str">
        <f t="shared" si="2"/>
        <v>03-Other Salaries</v>
      </c>
    </row>
    <row r="25" spans="1:9" ht="25.5">
      <c r="A25" t="str">
        <f t="shared" si="0"/>
        <v>Professional Development-Contractual Services</v>
      </c>
      <c r="B25" s="21" t="s">
        <v>32</v>
      </c>
      <c r="C25" t="s">
        <v>27</v>
      </c>
      <c r="D25" t="s">
        <v>32</v>
      </c>
      <c r="E25" s="21" t="s">
        <v>171</v>
      </c>
      <c r="F25" t="str">
        <f t="shared" si="1"/>
        <v>Contracted Services</v>
      </c>
      <c r="G25" t="str">
        <f t="shared" si="2"/>
        <v>04-Contracted Services</v>
      </c>
    </row>
    <row r="26" spans="1:9">
      <c r="A26" t="str">
        <f t="shared" si="0"/>
        <v>Pupil Services-Salaries - Other</v>
      </c>
      <c r="B26" s="21" t="s">
        <v>50</v>
      </c>
      <c r="C26" t="s">
        <v>24</v>
      </c>
      <c r="D26" s="21" t="s">
        <v>50</v>
      </c>
      <c r="E26" s="21" t="s">
        <v>172</v>
      </c>
      <c r="F26" t="str">
        <f t="shared" si="1"/>
        <v>Other Salaries</v>
      </c>
      <c r="G26" t="str">
        <f t="shared" si="2"/>
        <v>03-Other Salaries</v>
      </c>
    </row>
    <row r="27" spans="1:9" ht="25.5">
      <c r="A27" t="str">
        <f t="shared" si="0"/>
        <v>Benefits and Fixed Charges -Contractual Services</v>
      </c>
      <c r="B27" s="21" t="s">
        <v>36</v>
      </c>
      <c r="C27" t="s">
        <v>27</v>
      </c>
      <c r="D27" s="21" t="s">
        <v>36</v>
      </c>
      <c r="E27" t="s">
        <v>171</v>
      </c>
      <c r="F27" t="str">
        <f t="shared" si="1"/>
        <v>Contracted Services</v>
      </c>
      <c r="G27" t="str">
        <f t="shared" si="2"/>
        <v>04-Contracted Services</v>
      </c>
      <c r="I27" t="b">
        <f>A24=Budget!P47</f>
        <v>1</v>
      </c>
    </row>
    <row r="28" spans="1:9" ht="25.5">
      <c r="A28" t="str">
        <f t="shared" si="0"/>
        <v>Other Teaching Services-Salaries - Other</v>
      </c>
      <c r="B28" s="21" t="s">
        <v>79</v>
      </c>
      <c r="C28" t="s">
        <v>24</v>
      </c>
      <c r="D28" t="s">
        <v>79</v>
      </c>
      <c r="E28" t="s">
        <v>172</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
  <sheetViews>
    <sheetView zoomScaleNormal="100" workbookViewId="0">
      <selection activeCell="I13" sqref="I13"/>
    </sheetView>
  </sheetViews>
  <sheetFormatPr defaultColWidth="11.5703125" defaultRowHeight="12.75"/>
  <cols>
    <col min="2" max="2" width="13.28515625" customWidth="1"/>
    <col min="3" max="3" width="14.5703125" customWidth="1"/>
    <col min="7" max="7" width="42.140625" customWidth="1"/>
    <col min="13" max="14" width="11.5703125" hidden="1"/>
  </cols>
  <sheetData>
    <row r="1" spans="1:14">
      <c r="A1" s="26" t="s">
        <v>128</v>
      </c>
      <c r="B1" s="26" t="s">
        <v>179</v>
      </c>
      <c r="C1" s="26" t="s">
        <v>180</v>
      </c>
      <c r="D1" s="26" t="s">
        <v>18</v>
      </c>
      <c r="E1" s="26" t="s">
        <v>129</v>
      </c>
      <c r="F1" s="26" t="s">
        <v>181</v>
      </c>
      <c r="G1" s="26" t="s">
        <v>182</v>
      </c>
      <c r="M1" s="26" t="s">
        <v>18</v>
      </c>
      <c r="N1" s="26" t="s">
        <v>129</v>
      </c>
    </row>
    <row r="2" spans="1:14" ht="25.5">
      <c r="A2" t="s">
        <v>94</v>
      </c>
      <c r="B2">
        <v>1110</v>
      </c>
      <c r="C2" s="21" t="s">
        <v>183</v>
      </c>
      <c r="D2" t="s">
        <v>169</v>
      </c>
      <c r="E2" s="21" t="str">
        <f t="shared" ref="E2:E11" si="0">VLOOKUP(D2,$M$2:$N$7,2)</f>
        <v>Clerical Salaries</v>
      </c>
      <c r="F2" t="str">
        <f t="shared" ref="F2:F11" si="1">_xlfn.CONCAT(B2,"-",D2)</f>
        <v>1110-02</v>
      </c>
      <c r="G2" t="str">
        <f t="shared" ref="G2:G11" si="2">_xlfn.CONCAT(B2,"-",C2," ", D2, "-",E2)</f>
        <v>1110-School Committee  02-Clerical Salaries</v>
      </c>
      <c r="M2" t="s">
        <v>166</v>
      </c>
      <c r="N2" t="s">
        <v>167</v>
      </c>
    </row>
    <row r="3" spans="1:14" ht="25.5">
      <c r="A3" t="s">
        <v>94</v>
      </c>
      <c r="B3">
        <v>1110</v>
      </c>
      <c r="C3" s="21" t="s">
        <v>183</v>
      </c>
      <c r="D3" t="s">
        <v>172</v>
      </c>
      <c r="E3" s="21" t="str">
        <f t="shared" si="0"/>
        <v>Other Salaries</v>
      </c>
      <c r="F3" t="str">
        <f t="shared" si="1"/>
        <v>1110-03</v>
      </c>
      <c r="G3" t="str">
        <f t="shared" si="2"/>
        <v>1110-School Committee  03-Other Salaries</v>
      </c>
      <c r="M3" t="s">
        <v>169</v>
      </c>
      <c r="N3" t="s">
        <v>170</v>
      </c>
    </row>
    <row r="4" spans="1:14" ht="25.5">
      <c r="A4" t="s">
        <v>94</v>
      </c>
      <c r="B4">
        <v>1110</v>
      </c>
      <c r="C4" s="21" t="s">
        <v>183</v>
      </c>
      <c r="D4" t="s">
        <v>171</v>
      </c>
      <c r="E4" s="21" t="str">
        <f t="shared" si="0"/>
        <v>Contracted Services</v>
      </c>
      <c r="F4" t="str">
        <f t="shared" si="1"/>
        <v>1110-04</v>
      </c>
      <c r="G4" t="str">
        <f t="shared" si="2"/>
        <v>1110-School Committee  04-Contracted Services</v>
      </c>
      <c r="M4" t="s">
        <v>172</v>
      </c>
      <c r="N4" t="s">
        <v>173</v>
      </c>
    </row>
    <row r="5" spans="1:14" ht="38.25">
      <c r="A5" t="s">
        <v>94</v>
      </c>
      <c r="B5">
        <v>1110</v>
      </c>
      <c r="C5" s="21" t="s">
        <v>183</v>
      </c>
      <c r="D5" t="s">
        <v>175</v>
      </c>
      <c r="E5" s="21" t="str">
        <f t="shared" si="0"/>
        <v>Supplies and Materials</v>
      </c>
      <c r="F5" t="str">
        <f t="shared" si="1"/>
        <v>1110-05</v>
      </c>
      <c r="G5" t="str">
        <f t="shared" si="2"/>
        <v>1110-School Committee  05-Supplies and Materials</v>
      </c>
      <c r="M5" t="s">
        <v>171</v>
      </c>
      <c r="N5" t="s">
        <v>174</v>
      </c>
    </row>
    <row r="6" spans="1:14" ht="25.5">
      <c r="A6" t="s">
        <v>94</v>
      </c>
      <c r="B6">
        <v>1110</v>
      </c>
      <c r="C6" s="21" t="s">
        <v>183</v>
      </c>
      <c r="D6" t="s">
        <v>168</v>
      </c>
      <c r="E6" s="21" t="str">
        <f t="shared" si="0"/>
        <v>Other Expenses</v>
      </c>
      <c r="F6" t="str">
        <f t="shared" si="1"/>
        <v>1110-06</v>
      </c>
      <c r="G6" t="str">
        <f t="shared" si="2"/>
        <v>1110-School Committee  06-Other Expenses</v>
      </c>
      <c r="M6" t="s">
        <v>175</v>
      </c>
      <c r="N6" t="s">
        <v>29</v>
      </c>
    </row>
    <row r="7" spans="1:14" ht="25.5">
      <c r="A7" t="s">
        <v>94</v>
      </c>
      <c r="B7" s="21">
        <v>1210</v>
      </c>
      <c r="C7" s="21" t="s">
        <v>184</v>
      </c>
      <c r="D7" t="s">
        <v>169</v>
      </c>
      <c r="E7" s="21" t="str">
        <f t="shared" si="0"/>
        <v>Clerical Salaries</v>
      </c>
      <c r="F7" t="str">
        <f t="shared" si="1"/>
        <v>1210-02</v>
      </c>
      <c r="G7" t="str">
        <f t="shared" si="2"/>
        <v>1210-Superintendent  02-Clerical Salaries</v>
      </c>
      <c r="M7" t="s">
        <v>168</v>
      </c>
      <c r="N7" t="s">
        <v>176</v>
      </c>
    </row>
    <row r="8" spans="1:14" ht="25.5">
      <c r="A8" t="s">
        <v>94</v>
      </c>
      <c r="B8" s="21">
        <v>1210</v>
      </c>
      <c r="C8" s="21" t="s">
        <v>184</v>
      </c>
      <c r="D8" t="s">
        <v>172</v>
      </c>
      <c r="E8" s="21" t="str">
        <f t="shared" si="0"/>
        <v>Other Salaries</v>
      </c>
      <c r="F8" t="str">
        <f t="shared" si="1"/>
        <v>1210-03</v>
      </c>
      <c r="G8" t="str">
        <f t="shared" si="2"/>
        <v>1210-Superintendent  03-Other Salaries</v>
      </c>
    </row>
    <row r="9" spans="1:14" ht="25.5">
      <c r="A9" t="s">
        <v>94</v>
      </c>
      <c r="B9" s="21">
        <v>1210</v>
      </c>
      <c r="C9" s="21" t="s">
        <v>184</v>
      </c>
      <c r="D9" t="s">
        <v>171</v>
      </c>
      <c r="E9" s="21" t="str">
        <f t="shared" si="0"/>
        <v>Contracted Services</v>
      </c>
      <c r="F9" t="str">
        <f t="shared" si="1"/>
        <v>1210-04</v>
      </c>
      <c r="G9" t="str">
        <f t="shared" si="2"/>
        <v>1210-Superintendent  04-Contracted Services</v>
      </c>
    </row>
    <row r="10" spans="1:14" ht="38.25">
      <c r="A10" t="s">
        <v>94</v>
      </c>
      <c r="B10" s="21">
        <v>1210</v>
      </c>
      <c r="C10" s="21" t="s">
        <v>184</v>
      </c>
      <c r="D10" t="s">
        <v>175</v>
      </c>
      <c r="E10" s="21" t="str">
        <f t="shared" si="0"/>
        <v>Supplies and Materials</v>
      </c>
      <c r="F10" t="str">
        <f t="shared" si="1"/>
        <v>1210-05</v>
      </c>
      <c r="G10" t="str">
        <f t="shared" si="2"/>
        <v>1210-Superintendent  05-Supplies and Materials</v>
      </c>
    </row>
    <row r="11" spans="1:14" ht="25.5">
      <c r="A11" t="s">
        <v>94</v>
      </c>
      <c r="B11" s="21">
        <v>1210</v>
      </c>
      <c r="C11" s="21" t="s">
        <v>184</v>
      </c>
      <c r="D11" t="s">
        <v>168</v>
      </c>
      <c r="E11" s="21" t="str">
        <f t="shared" si="0"/>
        <v>Other Expenses</v>
      </c>
      <c r="F11" t="str">
        <f t="shared" si="1"/>
        <v>1210-06</v>
      </c>
      <c r="G11" t="str">
        <f t="shared" si="2"/>
        <v>1210-Superintendent  06-Other Expenses</v>
      </c>
    </row>
    <row r="12" spans="1:14">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CAFC7-C7C4-4E56-AFB8-9F042172DEFA}"/>
</file>

<file path=customXml/itemProps2.xml><?xml version="1.0" encoding="utf-8"?>
<ds:datastoreItem xmlns:ds="http://schemas.openxmlformats.org/officeDocument/2006/customXml" ds:itemID="{EE03A66E-4316-496F-A88B-27A0F98FB0ED}"/>
</file>

<file path=customXml/itemProps3.xml><?xml version="1.0" encoding="utf-8"?>
<ds:datastoreItem xmlns:ds="http://schemas.openxmlformats.org/officeDocument/2006/customXml" ds:itemID="{CF51DF8C-14FF-41A8-A1B1-3F89145190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2024-07-18T15:42:38Z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